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ATOS\Documents\ORDENADOR CASA 2015.08.27\JOSE\INNAXIS\IMPUESTOS\2025\"/>
    </mc:Choice>
  </mc:AlternateContent>
  <xr:revisionPtr revIDLastSave="0" documentId="13_ncr:1_{0B680869-20A5-4089-AAF1-B7A5E0DF179D}" xr6:coauthVersionLast="47" xr6:coauthVersionMax="47" xr10:uidLastSave="{00000000-0000-0000-0000-000000000000}"/>
  <bookViews>
    <workbookView xWindow="-120" yWindow="-120" windowWidth="29040" windowHeight="15840" tabRatio="830" activeTab="3" xr2:uid="{00000000-000D-0000-FFFF-FFFF00000000}"/>
  </bookViews>
  <sheets>
    <sheet name="216 mobiliario 2025" sheetId="25" r:id="rId1"/>
    <sheet name="217 equipos 2025" sheetId="26" r:id="rId2"/>
    <sheet name="219 otro inmov 2025" sheetId="27" r:id="rId3"/>
    <sheet name="206 aplicaciones2025" sheetId="28" r:id="rId4"/>
  </sheets>
  <definedNames>
    <definedName name="_xlnm._FilterDatabase" localSheetId="3" hidden="1">'206 aplicaciones2025'!$A$3:$O$3</definedName>
    <definedName name="_xlnm._FilterDatabase" localSheetId="0">'216 mobiliario 2025'!$A$1:$K$1</definedName>
    <definedName name="_xlnm._FilterDatabase" localSheetId="1" hidden="1">'217 equipos 2025'!$A$1:$BO$48</definedName>
    <definedName name="_xlnm._FilterDatabase" localSheetId="2">'219 otro inmov 2025'!$A$4:$O$4</definedName>
    <definedName name="_xlnm.Print_Area" localSheetId="0">'216 mobiliario 2025'!$A$1:$AJ$51</definedName>
    <definedName name="_xlnm.Print_Area" localSheetId="1">'217 equipos 2025'!$B$1:$AT$66</definedName>
  </definedNames>
  <calcPr calcId="191029"/>
</workbook>
</file>

<file path=xl/calcChain.xml><?xml version="1.0" encoding="utf-8"?>
<calcChain xmlns="http://schemas.openxmlformats.org/spreadsheetml/2006/main">
  <c r="AM50" i="25" l="1"/>
  <c r="AN23" i="25"/>
  <c r="AN42" i="25"/>
  <c r="AN27" i="25"/>
  <c r="AN26" i="25"/>
  <c r="AN25" i="25"/>
  <c r="AN22" i="25"/>
  <c r="AN19" i="25"/>
  <c r="AN18" i="25"/>
  <c r="AO11" i="28"/>
  <c r="AO12" i="28"/>
  <c r="AO13" i="28"/>
  <c r="AN43" i="25"/>
  <c r="AN41" i="25"/>
  <c r="AN40" i="25"/>
  <c r="AN39" i="25"/>
  <c r="AN37" i="25"/>
  <c r="AN36" i="25"/>
  <c r="AN35" i="25"/>
  <c r="AN34" i="25"/>
  <c r="AN33" i="25"/>
  <c r="AN32" i="25"/>
  <c r="AN31" i="25"/>
  <c r="AN30" i="25"/>
  <c r="AN29" i="25"/>
  <c r="AN21" i="25"/>
  <c r="AN20" i="25"/>
  <c r="AK65" i="26"/>
  <c r="Q66" i="26"/>
  <c r="AG19" i="28"/>
  <c r="AF19" i="28"/>
  <c r="AI13" i="27"/>
  <c r="AH13" i="27"/>
  <c r="AE61" i="26"/>
  <c r="AF61" i="26" s="1"/>
  <c r="AG61" i="26" s="1"/>
  <c r="AE60" i="26"/>
  <c r="AF60" i="26" s="1"/>
  <c r="AG60" i="26" s="1"/>
  <c r="AE59" i="26"/>
  <c r="AF59" i="26" s="1"/>
  <c r="AD19" i="28"/>
  <c r="AC19" i="28"/>
  <c r="AA19" i="28"/>
  <c r="Z19" i="28"/>
  <c r="AB13" i="27"/>
  <c r="AC13" i="27"/>
  <c r="AE13" i="27"/>
  <c r="AF13" i="27"/>
  <c r="AF67" i="26"/>
  <c r="AE67" i="26"/>
  <c r="AC67" i="26"/>
  <c r="AB67" i="26"/>
  <c r="Y56" i="26"/>
  <c r="Z56" i="26" s="1"/>
  <c r="Y57" i="26"/>
  <c r="Z57" i="26" s="1"/>
  <c r="AA57" i="26" s="1"/>
  <c r="X19" i="28"/>
  <c r="W19" i="28"/>
  <c r="Z13" i="27"/>
  <c r="Y13" i="27"/>
  <c r="Z9" i="27"/>
  <c r="AA9" i="27"/>
  <c r="AB9" i="27" s="1"/>
  <c r="Z67" i="26"/>
  <c r="Y67" i="26"/>
  <c r="V47" i="25"/>
  <c r="U47" i="25"/>
  <c r="E12" i="27"/>
  <c r="E67" i="26"/>
  <c r="R28" i="25"/>
  <c r="S28" i="25" s="1"/>
  <c r="T28" i="25" s="1"/>
  <c r="U28" i="25" s="1"/>
  <c r="R29" i="25"/>
  <c r="S29" i="25" s="1"/>
  <c r="R30" i="25"/>
  <c r="S30" i="25" s="1"/>
  <c r="R31" i="25"/>
  <c r="S31" i="25" s="1"/>
  <c r="R32" i="25"/>
  <c r="S32" i="25" s="1"/>
  <c r="T32" i="25" s="1"/>
  <c r="U32" i="25" s="1"/>
  <c r="R33" i="25"/>
  <c r="S33" i="25" s="1"/>
  <c r="R34" i="25"/>
  <c r="S34" i="25" s="1"/>
  <c r="R35" i="25"/>
  <c r="S35" i="25" s="1"/>
  <c r="R36" i="25"/>
  <c r="S36" i="25"/>
  <c r="T36" i="25" s="1"/>
  <c r="U36" i="25" s="1"/>
  <c r="R37" i="25"/>
  <c r="S37" i="25" s="1"/>
  <c r="R38" i="25"/>
  <c r="S38" i="25" s="1"/>
  <c r="R39" i="25"/>
  <c r="S39" i="25" s="1"/>
  <c r="R40" i="25"/>
  <c r="S40" i="25"/>
  <c r="T40" i="25" s="1"/>
  <c r="U40" i="25" s="1"/>
  <c r="R27" i="25"/>
  <c r="S27" i="25" s="1"/>
  <c r="R26" i="25"/>
  <c r="S26" i="25" s="1"/>
  <c r="R24" i="25"/>
  <c r="S24" i="25" s="1"/>
  <c r="R23" i="25"/>
  <c r="S23" i="25" s="1"/>
  <c r="T23" i="25" s="1"/>
  <c r="U23" i="25" s="1"/>
  <c r="R21" i="25"/>
  <c r="S21" i="25" s="1"/>
  <c r="V54" i="26"/>
  <c r="W54" i="26" s="1"/>
  <c r="V55" i="26"/>
  <c r="W55" i="26" s="1"/>
  <c r="L55" i="26"/>
  <c r="L54" i="26"/>
  <c r="U19" i="28"/>
  <c r="S24" i="26"/>
  <c r="T24" i="26" s="1"/>
  <c r="U24" i="26" s="1"/>
  <c r="V24" i="26" s="1"/>
  <c r="W24" i="26" s="1"/>
  <c r="S25" i="26"/>
  <c r="T25" i="26" s="1"/>
  <c r="S26" i="26"/>
  <c r="T26" i="26" s="1"/>
  <c r="U26" i="26" s="1"/>
  <c r="V26" i="26" s="1"/>
  <c r="W26" i="26" s="1"/>
  <c r="S27" i="26"/>
  <c r="T27" i="26" s="1"/>
  <c r="U27" i="26" s="1"/>
  <c r="V27" i="26" s="1"/>
  <c r="W27" i="26" s="1"/>
  <c r="S28" i="26"/>
  <c r="T28" i="26" s="1"/>
  <c r="S29" i="26"/>
  <c r="T29" i="26" s="1"/>
  <c r="U29" i="26" s="1"/>
  <c r="V29" i="26" s="1"/>
  <c r="W29" i="26" s="1"/>
  <c r="V30" i="26"/>
  <c r="V31" i="26"/>
  <c r="V33" i="26"/>
  <c r="V34" i="26"/>
  <c r="V35" i="26"/>
  <c r="V36" i="26"/>
  <c r="V37" i="26"/>
  <c r="V38" i="26"/>
  <c r="V39" i="26"/>
  <c r="V40" i="26"/>
  <c r="V42" i="26"/>
  <c r="V43" i="26"/>
  <c r="V44" i="26"/>
  <c r="V45" i="26"/>
  <c r="V46" i="26"/>
  <c r="V47" i="26"/>
  <c r="V48" i="26"/>
  <c r="V49" i="26"/>
  <c r="W49" i="26" s="1"/>
  <c r="Y49" i="26" s="1"/>
  <c r="V50" i="26"/>
  <c r="V53" i="26"/>
  <c r="W67" i="26"/>
  <c r="R20" i="25"/>
  <c r="S20" i="25" s="1"/>
  <c r="R4" i="25"/>
  <c r="R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2" i="25"/>
  <c r="S22" i="25" s="1"/>
  <c r="R25" i="25"/>
  <c r="S25" i="25" s="1"/>
  <c r="R41" i="25"/>
  <c r="S41" i="25" s="1"/>
  <c r="T41" i="25" s="1"/>
  <c r="U41" i="25" s="1"/>
  <c r="R42" i="25"/>
  <c r="S42" i="25" s="1"/>
  <c r="R43" i="25"/>
  <c r="T13" i="28"/>
  <c r="U13" i="28" s="1"/>
  <c r="S6" i="27"/>
  <c r="T6" i="27" s="1"/>
  <c r="V8" i="27"/>
  <c r="V7" i="27"/>
  <c r="V9" i="27"/>
  <c r="W9" i="27" s="1"/>
  <c r="X9" i="27" s="1"/>
  <c r="Y9" i="27" s="1"/>
  <c r="T15" i="28"/>
  <c r="U15" i="28" s="1"/>
  <c r="T14" i="28"/>
  <c r="U14" i="28"/>
  <c r="V14" i="28" s="1"/>
  <c r="W14" i="28" s="1"/>
  <c r="T19" i="28"/>
  <c r="T6" i="28"/>
  <c r="T7" i="28"/>
  <c r="T8" i="28"/>
  <c r="T10" i="28"/>
  <c r="T11" i="28"/>
  <c r="T12" i="28"/>
  <c r="O19" i="28"/>
  <c r="R19" i="28"/>
  <c r="Q19" i="28"/>
  <c r="N19" i="28"/>
  <c r="W13" i="27"/>
  <c r="V13" i="27"/>
  <c r="S8" i="27"/>
  <c r="T8" i="27"/>
  <c r="U8" i="27" s="1"/>
  <c r="W8" i="27"/>
  <c r="X8" i="27"/>
  <c r="Y8" i="27" s="1"/>
  <c r="S7" i="27"/>
  <c r="T7" i="27"/>
  <c r="S9" i="27"/>
  <c r="T9" i="27"/>
  <c r="V10" i="27"/>
  <c r="W10" i="27" s="1"/>
  <c r="V5" i="27"/>
  <c r="P5" i="27"/>
  <c r="R5" i="27"/>
  <c r="P6" i="27"/>
  <c r="R6" i="27"/>
  <c r="P7" i="27"/>
  <c r="R7" i="27"/>
  <c r="P8" i="27"/>
  <c r="R8" i="27"/>
  <c r="P9" i="27"/>
  <c r="R9" i="27"/>
  <c r="R12" i="27" s="1"/>
  <c r="P10" i="27"/>
  <c r="R10" i="27"/>
  <c r="Q12" i="27"/>
  <c r="Q13" i="27"/>
  <c r="S10" i="27"/>
  <c r="T10" i="27"/>
  <c r="S5" i="27"/>
  <c r="T5" i="27"/>
  <c r="U5" i="27" s="1"/>
  <c r="S13" i="27"/>
  <c r="T13" i="27"/>
  <c r="E13" i="27"/>
  <c r="L49" i="26"/>
  <c r="L50" i="26"/>
  <c r="L51" i="26"/>
  <c r="L52" i="26"/>
  <c r="L53" i="26"/>
  <c r="V67" i="26"/>
  <c r="V51" i="26"/>
  <c r="W51" i="26" s="1"/>
  <c r="V52" i="26"/>
  <c r="W52" i="26" s="1"/>
  <c r="W53" i="26"/>
  <c r="Y53" i="26" s="1"/>
  <c r="S30" i="26"/>
  <c r="T30" i="26" s="1"/>
  <c r="S31" i="26"/>
  <c r="T31" i="26" s="1"/>
  <c r="E32" i="26"/>
  <c r="S33" i="26"/>
  <c r="T33" i="26" s="1"/>
  <c r="S34" i="26"/>
  <c r="T34" i="26" s="1"/>
  <c r="S35" i="26"/>
  <c r="T35" i="26" s="1"/>
  <c r="S36" i="26"/>
  <c r="T36" i="26" s="1"/>
  <c r="S37" i="26"/>
  <c r="T37" i="26" s="1"/>
  <c r="S38" i="26"/>
  <c r="T38" i="26" s="1"/>
  <c r="S39" i="26"/>
  <c r="T39" i="26" s="1"/>
  <c r="S40" i="26"/>
  <c r="T40" i="26" s="1"/>
  <c r="S41" i="26"/>
  <c r="T41" i="26" s="1"/>
  <c r="S42" i="26"/>
  <c r="T42" i="26" s="1"/>
  <c r="S43" i="26"/>
  <c r="T43" i="26" s="1"/>
  <c r="S44" i="26"/>
  <c r="T44" i="26" s="1"/>
  <c r="S45" i="26"/>
  <c r="T45" i="26" s="1"/>
  <c r="S46" i="26"/>
  <c r="T46" i="26" s="1"/>
  <c r="S47" i="26"/>
  <c r="T47" i="26" s="1"/>
  <c r="S48" i="26"/>
  <c r="T48" i="26" s="1"/>
  <c r="W50" i="26"/>
  <c r="Y50" i="26" s="1"/>
  <c r="T67" i="26"/>
  <c r="R47" i="25"/>
  <c r="S47" i="25"/>
  <c r="P47" i="25"/>
  <c r="E47" i="25"/>
  <c r="S43" i="25"/>
  <c r="O4" i="25"/>
  <c r="P4" i="25" s="1"/>
  <c r="O5" i="25"/>
  <c r="P5" i="25" s="1"/>
  <c r="O6" i="25"/>
  <c r="P6" i="25" s="1"/>
  <c r="O7" i="25"/>
  <c r="P7" i="25" s="1"/>
  <c r="O8" i="25"/>
  <c r="P8" i="25" s="1"/>
  <c r="O9" i="25"/>
  <c r="P9" i="25" s="1"/>
  <c r="O10" i="25"/>
  <c r="P10" i="25" s="1"/>
  <c r="O11" i="25"/>
  <c r="P11" i="25" s="1"/>
  <c r="O12" i="25"/>
  <c r="P12" i="25" s="1"/>
  <c r="O13" i="25"/>
  <c r="P13" i="25" s="1"/>
  <c r="O14" i="25"/>
  <c r="P14" i="25" s="1"/>
  <c r="O15" i="25"/>
  <c r="P15" i="25" s="1"/>
  <c r="O16" i="25"/>
  <c r="P16" i="25" s="1"/>
  <c r="O17" i="25"/>
  <c r="P17" i="25" s="1"/>
  <c r="O18" i="25"/>
  <c r="P18" i="25" s="1"/>
  <c r="O19" i="25"/>
  <c r="P19" i="25" s="1"/>
  <c r="N2" i="25"/>
  <c r="L3" i="25"/>
  <c r="L46" i="25" s="1"/>
  <c r="N3" i="25"/>
  <c r="L4" i="25"/>
  <c r="N4" i="25"/>
  <c r="L5" i="25"/>
  <c r="N5" i="25"/>
  <c r="L6" i="25"/>
  <c r="N6" i="25"/>
  <c r="L7" i="25"/>
  <c r="N7" i="25"/>
  <c r="L8" i="25"/>
  <c r="N8" i="25"/>
  <c r="L9" i="25"/>
  <c r="N9" i="25"/>
  <c r="L10" i="25"/>
  <c r="N10" i="25"/>
  <c r="L11" i="25"/>
  <c r="N11" i="25"/>
  <c r="L12" i="25"/>
  <c r="N12" i="25"/>
  <c r="L13" i="25"/>
  <c r="N13" i="25"/>
  <c r="L14" i="25"/>
  <c r="N14" i="25"/>
  <c r="L15" i="25"/>
  <c r="N15" i="25"/>
  <c r="L16" i="25"/>
  <c r="N16" i="25"/>
  <c r="L17" i="25"/>
  <c r="N17" i="25"/>
  <c r="L18" i="25"/>
  <c r="N18" i="25"/>
  <c r="L19" i="25"/>
  <c r="N19" i="25"/>
  <c r="M46" i="25"/>
  <c r="S15" i="28"/>
  <c r="S14" i="28"/>
  <c r="Q4" i="28"/>
  <c r="R4" i="28" s="1"/>
  <c r="Q5" i="28"/>
  <c r="R5" i="28"/>
  <c r="Q6" i="28"/>
  <c r="Q7" i="28"/>
  <c r="R7" i="28" s="1"/>
  <c r="Q8" i="28"/>
  <c r="R8" i="28" s="1"/>
  <c r="U8" i="28" s="1"/>
  <c r="Q9" i="28"/>
  <c r="R9" i="28"/>
  <c r="Q10" i="28"/>
  <c r="R10" i="28" s="1"/>
  <c r="Q11" i="28"/>
  <c r="R11" i="28"/>
  <c r="U11" i="28" s="1"/>
  <c r="V11" i="28" s="1"/>
  <c r="W11" i="28" s="1"/>
  <c r="Q12" i="28"/>
  <c r="R12" i="28" s="1"/>
  <c r="S4" i="28"/>
  <c r="S5" i="28"/>
  <c r="T5" i="28" s="1"/>
  <c r="S8" i="28"/>
  <c r="N10" i="28"/>
  <c r="N9" i="28"/>
  <c r="N8" i="28"/>
  <c r="N7" i="28"/>
  <c r="N6" i="28"/>
  <c r="N5" i="28"/>
  <c r="N4" i="28"/>
  <c r="P4" i="28"/>
  <c r="P5" i="28"/>
  <c r="P6" i="28"/>
  <c r="P7" i="28"/>
  <c r="P8" i="28"/>
  <c r="P9" i="28"/>
  <c r="P10" i="28"/>
  <c r="P18" i="28"/>
  <c r="O18" i="28"/>
  <c r="N18" i="28"/>
  <c r="G18" i="28"/>
  <c r="F18" i="28"/>
  <c r="U9" i="27"/>
  <c r="U10" i="27"/>
  <c r="S12" i="27"/>
  <c r="AU6" i="27"/>
  <c r="AT6" i="27"/>
  <c r="AV16" i="27"/>
  <c r="AU16" i="27"/>
  <c r="AT16" i="27"/>
  <c r="AS16" i="27"/>
  <c r="AW11" i="27"/>
  <c r="AV11" i="27"/>
  <c r="AU11" i="27"/>
  <c r="AT11" i="27"/>
  <c r="AS11" i="27"/>
  <c r="L45" i="26"/>
  <c r="L46" i="26"/>
  <c r="D47" i="26"/>
  <c r="L47" i="26" s="1"/>
  <c r="L48" i="26"/>
  <c r="L44" i="26"/>
  <c r="L43" i="26"/>
  <c r="L42" i="26"/>
  <c r="L31" i="26"/>
  <c r="L32" i="26"/>
  <c r="L33" i="26"/>
  <c r="L34" i="26"/>
  <c r="L35" i="26"/>
  <c r="L36" i="26"/>
  <c r="L37" i="26"/>
  <c r="L38" i="26"/>
  <c r="L39" i="26"/>
  <c r="L40" i="26"/>
  <c r="L30" i="26"/>
  <c r="P2" i="26"/>
  <c r="S2" i="26"/>
  <c r="T3" i="26"/>
  <c r="U3" i="26" s="1"/>
  <c r="T4" i="26"/>
  <c r="W4" i="26" s="1"/>
  <c r="T5" i="26"/>
  <c r="W5" i="26" s="1"/>
  <c r="T6" i="26"/>
  <c r="W6" i="26" s="1"/>
  <c r="T7" i="26"/>
  <c r="U7" i="26" s="1"/>
  <c r="T8" i="26"/>
  <c r="W8" i="26" s="1"/>
  <c r="T9" i="26"/>
  <c r="W9" i="26" s="1"/>
  <c r="T10" i="26"/>
  <c r="W10" i="26" s="1"/>
  <c r="T11" i="26"/>
  <c r="U11" i="26" s="1"/>
  <c r="T12" i="26"/>
  <c r="W12" i="26" s="1"/>
  <c r="U12" i="26"/>
  <c r="T13" i="26"/>
  <c r="W13" i="26" s="1"/>
  <c r="T14" i="26"/>
  <c r="W14" i="26" s="1"/>
  <c r="T15" i="26"/>
  <c r="U15" i="26" s="1"/>
  <c r="T16" i="26"/>
  <c r="W16" i="26" s="1"/>
  <c r="P17" i="26"/>
  <c r="R17" i="26"/>
  <c r="S17" i="26" s="1"/>
  <c r="T17" i="26" s="1"/>
  <c r="W17" i="26" s="1"/>
  <c r="P18" i="26"/>
  <c r="R18" i="26"/>
  <c r="S18" i="26" s="1"/>
  <c r="P19" i="26"/>
  <c r="R19" i="26"/>
  <c r="S19" i="26" s="1"/>
  <c r="P20" i="26"/>
  <c r="R20" i="26"/>
  <c r="S20" i="26" s="1"/>
  <c r="T20" i="26" s="1"/>
  <c r="P21" i="26"/>
  <c r="R21" i="26"/>
  <c r="S21" i="26" s="1"/>
  <c r="T21" i="26" s="1"/>
  <c r="P22" i="26"/>
  <c r="R22" i="26"/>
  <c r="S22" i="26" s="1"/>
  <c r="T22" i="26" s="1"/>
  <c r="W22" i="26" s="1"/>
  <c r="P23" i="26"/>
  <c r="S23" i="26"/>
  <c r="T23" i="26" s="1"/>
  <c r="U23" i="26" s="1"/>
  <c r="V23" i="26" s="1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C47" i="26"/>
  <c r="C46" i="26"/>
  <c r="C43" i="26"/>
  <c r="C42" i="26"/>
  <c r="C44" i="26"/>
  <c r="C45" i="26"/>
  <c r="C40" i="26"/>
  <c r="R2" i="26"/>
  <c r="R3" i="26"/>
  <c r="R4" i="26"/>
  <c r="R5" i="26"/>
  <c r="R6" i="26"/>
  <c r="R7" i="26"/>
  <c r="R8" i="26"/>
  <c r="R9" i="26"/>
  <c r="R10" i="26"/>
  <c r="R11" i="26"/>
  <c r="R12" i="26"/>
  <c r="R13" i="26"/>
  <c r="R14" i="26"/>
  <c r="R15" i="26"/>
  <c r="R16" i="26"/>
  <c r="R23" i="26"/>
  <c r="R24" i="26"/>
  <c r="R25" i="26"/>
  <c r="R26" i="26"/>
  <c r="R27" i="26"/>
  <c r="R28" i="26"/>
  <c r="R29" i="26"/>
  <c r="R30" i="26"/>
  <c r="R31" i="26"/>
  <c r="R33" i="26"/>
  <c r="R40" i="26"/>
  <c r="R34" i="26"/>
  <c r="R35" i="26"/>
  <c r="R36" i="26"/>
  <c r="R39" i="26"/>
  <c r="R37" i="26"/>
  <c r="R38" i="26"/>
  <c r="R41" i="26"/>
  <c r="R45" i="26"/>
  <c r="R44" i="26"/>
  <c r="R42" i="26"/>
  <c r="R43" i="26"/>
  <c r="O3" i="25"/>
  <c r="P2" i="25"/>
  <c r="S2" i="25" s="1"/>
  <c r="E46" i="25"/>
  <c r="V15" i="28" l="1"/>
  <c r="W15" i="28" s="1"/>
  <c r="X15" i="28" s="1"/>
  <c r="S7" i="28"/>
  <c r="U7" i="28"/>
  <c r="R66" i="26"/>
  <c r="U16" i="26"/>
  <c r="T12" i="27"/>
  <c r="E66" i="26"/>
  <c r="S32" i="26"/>
  <c r="T32" i="26" s="1"/>
  <c r="R32" i="26"/>
  <c r="R6" i="28"/>
  <c r="Q18" i="28"/>
  <c r="Z10" i="27"/>
  <c r="AA10" i="27" s="1"/>
  <c r="AB10" i="27" s="1"/>
  <c r="AC10" i="27" s="1"/>
  <c r="X10" i="27"/>
  <c r="T4" i="28"/>
  <c r="T18" i="28" s="1"/>
  <c r="U6" i="27"/>
  <c r="AC9" i="27"/>
  <c r="AD9" i="27" s="1"/>
  <c r="AE9" i="27" s="1"/>
  <c r="S12" i="28"/>
  <c r="U12" i="28"/>
  <c r="W5" i="27"/>
  <c r="V13" i="28"/>
  <c r="W13" i="28" s="1"/>
  <c r="X13" i="28" s="1"/>
  <c r="W7" i="27"/>
  <c r="U7" i="27"/>
  <c r="X53" i="26"/>
  <c r="U10" i="28"/>
  <c r="S10" i="28"/>
  <c r="Z8" i="27"/>
  <c r="X11" i="28"/>
  <c r="T18" i="26"/>
  <c r="S9" i="28"/>
  <c r="T9" i="28" s="1"/>
  <c r="U9" i="28" s="1"/>
  <c r="P12" i="27"/>
  <c r="U5" i="28"/>
  <c r="P66" i="26"/>
  <c r="V8" i="28"/>
  <c r="W8" i="28" s="1"/>
  <c r="X8" i="28"/>
  <c r="X14" i="28"/>
  <c r="O46" i="25"/>
  <c r="S11" i="28"/>
  <c r="R46" i="25"/>
  <c r="Q2" i="25"/>
  <c r="N46" i="25"/>
  <c r="W41" i="26"/>
  <c r="U41" i="26"/>
  <c r="U34" i="26"/>
  <c r="W34" i="26"/>
  <c r="W39" i="26"/>
  <c r="U39" i="26"/>
  <c r="W45" i="26"/>
  <c r="U45" i="26"/>
  <c r="U8" i="26"/>
  <c r="T2" i="26"/>
  <c r="U4" i="26"/>
  <c r="V2" i="25"/>
  <c r="T2" i="25"/>
  <c r="Q14" i="25"/>
  <c r="S14" i="25"/>
  <c r="Q10" i="25"/>
  <c r="S10" i="25"/>
  <c r="Q6" i="25"/>
  <c r="S6" i="25"/>
  <c r="S19" i="25"/>
  <c r="Q19" i="25"/>
  <c r="S15" i="25"/>
  <c r="Q15" i="25"/>
  <c r="S11" i="25"/>
  <c r="Q11" i="25"/>
  <c r="S7" i="25"/>
  <c r="Q7" i="25"/>
  <c r="T37" i="25"/>
  <c r="U37" i="25" s="1"/>
  <c r="V37" i="25"/>
  <c r="T34" i="25"/>
  <c r="U34" i="25" s="1"/>
  <c r="V34" i="25" s="1"/>
  <c r="T31" i="25"/>
  <c r="U31" i="25" s="1"/>
  <c r="V31" i="25" s="1"/>
  <c r="S16" i="25"/>
  <c r="Q16" i="25"/>
  <c r="S12" i="25"/>
  <c r="Q12" i="25"/>
  <c r="S8" i="25"/>
  <c r="Q8" i="25"/>
  <c r="S4" i="25"/>
  <c r="Q4" i="25"/>
  <c r="T27" i="25"/>
  <c r="U27" i="25" s="1"/>
  <c r="V27" i="25" s="1"/>
  <c r="T38" i="25"/>
  <c r="U38" i="25" s="1"/>
  <c r="V38" i="25" s="1"/>
  <c r="T35" i="25"/>
  <c r="U35" i="25" s="1"/>
  <c r="V35" i="25" s="1"/>
  <c r="Q17" i="25"/>
  <c r="S17" i="25"/>
  <c r="Q13" i="25"/>
  <c r="S13" i="25"/>
  <c r="Q9" i="25"/>
  <c r="S9" i="25"/>
  <c r="Q5" i="25"/>
  <c r="S5" i="25"/>
  <c r="T21" i="25"/>
  <c r="U21" i="25" s="1"/>
  <c r="V21" i="25"/>
  <c r="T26" i="25"/>
  <c r="U26" i="25" s="1"/>
  <c r="V26" i="25" s="1"/>
  <c r="T39" i="25"/>
  <c r="U39" i="25" s="1"/>
  <c r="V39" i="25" s="1"/>
  <c r="T29" i="25"/>
  <c r="U29" i="25" s="1"/>
  <c r="V29" i="25" s="1"/>
  <c r="Q18" i="25"/>
  <c r="S18" i="25"/>
  <c r="T24" i="25"/>
  <c r="U24" i="25" s="1"/>
  <c r="V24" i="25" s="1"/>
  <c r="T33" i="25"/>
  <c r="U33" i="25" s="1"/>
  <c r="V33" i="25"/>
  <c r="T30" i="25"/>
  <c r="U30" i="25" s="1"/>
  <c r="V30" i="25" s="1"/>
  <c r="T42" i="25"/>
  <c r="U42" i="25" s="1"/>
  <c r="V42" i="25" s="1"/>
  <c r="T25" i="25"/>
  <c r="U25" i="25" s="1"/>
  <c r="V25" i="25" s="1"/>
  <c r="T20" i="25"/>
  <c r="U20" i="25" s="1"/>
  <c r="V20" i="25" s="1"/>
  <c r="V41" i="25"/>
  <c r="P3" i="25"/>
  <c r="V40" i="25"/>
  <c r="V36" i="25"/>
  <c r="V32" i="25"/>
  <c r="V28" i="25"/>
  <c r="T43" i="25"/>
  <c r="U43" i="25" s="1"/>
  <c r="V43" i="25" s="1"/>
  <c r="T22" i="25"/>
  <c r="U22" i="25" s="1"/>
  <c r="V22" i="25" s="1"/>
  <c r="V23" i="25"/>
  <c r="W44" i="26"/>
  <c r="X44" i="26" s="1"/>
  <c r="U44" i="26"/>
  <c r="W35" i="26"/>
  <c r="X35" i="26" s="1"/>
  <c r="Y35" i="26" s="1"/>
  <c r="Z35" i="26" s="1"/>
  <c r="U35" i="26"/>
  <c r="W33" i="26"/>
  <c r="X33" i="26" s="1"/>
  <c r="Y33" i="26" s="1"/>
  <c r="Z33" i="26" s="1"/>
  <c r="U33" i="26"/>
  <c r="W42" i="26"/>
  <c r="U42" i="26"/>
  <c r="AK62" i="26"/>
  <c r="AL62" i="26" s="1"/>
  <c r="W21" i="26"/>
  <c r="U21" i="26"/>
  <c r="W46" i="26"/>
  <c r="Y46" i="26" s="1"/>
  <c r="Z46" i="26" s="1"/>
  <c r="U46" i="26"/>
  <c r="W37" i="26"/>
  <c r="U37" i="26"/>
  <c r="U10" i="26"/>
  <c r="AK63" i="26"/>
  <c r="AL63" i="26" s="1"/>
  <c r="U14" i="26"/>
  <c r="U6" i="26"/>
  <c r="X49" i="26"/>
  <c r="X50" i="26"/>
  <c r="AL65" i="26"/>
  <c r="AK64" i="26"/>
  <c r="AL64" i="26" s="1"/>
  <c r="X22" i="26"/>
  <c r="Y22" i="26" s="1"/>
  <c r="Z22" i="26" s="1"/>
  <c r="AA22" i="26" s="1"/>
  <c r="AB22" i="26" s="1"/>
  <c r="AC22" i="26" s="1"/>
  <c r="X14" i="26"/>
  <c r="Y14" i="26" s="1"/>
  <c r="Z14" i="26" s="1"/>
  <c r="AA14" i="26" s="1"/>
  <c r="AB14" i="26" s="1"/>
  <c r="AC14" i="26" s="1"/>
  <c r="AD14" i="26" s="1"/>
  <c r="AE14" i="26" s="1"/>
  <c r="AF14" i="26" s="1"/>
  <c r="W38" i="26"/>
  <c r="U38" i="26"/>
  <c r="X52" i="26"/>
  <c r="Y52" i="26"/>
  <c r="Z52" i="26" s="1"/>
  <c r="X27" i="26"/>
  <c r="Y27" i="26" s="1"/>
  <c r="Z27" i="26" s="1"/>
  <c r="X21" i="26"/>
  <c r="Y21" i="26" s="1"/>
  <c r="Z21" i="26" s="1"/>
  <c r="AA21" i="26" s="1"/>
  <c r="AB21" i="26" s="1"/>
  <c r="AC21" i="26" s="1"/>
  <c r="U20" i="26"/>
  <c r="W20" i="26"/>
  <c r="W18" i="26"/>
  <c r="U18" i="26"/>
  <c r="X16" i="26"/>
  <c r="Y16" i="26" s="1"/>
  <c r="Z16" i="26" s="1"/>
  <c r="AA16" i="26" s="1"/>
  <c r="AB16" i="26" s="1"/>
  <c r="AC16" i="26" s="1"/>
  <c r="AD16" i="26" s="1"/>
  <c r="AE16" i="26" s="1"/>
  <c r="AF16" i="26" s="1"/>
  <c r="X13" i="26"/>
  <c r="Y13" i="26" s="1"/>
  <c r="Z13" i="26" s="1"/>
  <c r="AA13" i="26" s="1"/>
  <c r="AB13" i="26" s="1"/>
  <c r="AC13" i="26" s="1"/>
  <c r="X8" i="26"/>
  <c r="Y8" i="26" s="1"/>
  <c r="Z8" i="26" s="1"/>
  <c r="AA8" i="26" s="1"/>
  <c r="AB8" i="26" s="1"/>
  <c r="AC8" i="26" s="1"/>
  <c r="AD8" i="26" s="1"/>
  <c r="AE8" i="26" s="1"/>
  <c r="AF8" i="26" s="1"/>
  <c r="X5" i="26"/>
  <c r="Y5" i="26" s="1"/>
  <c r="Z5" i="26" s="1"/>
  <c r="AA5" i="26" s="1"/>
  <c r="AB5" i="26" s="1"/>
  <c r="AC5" i="26" s="1"/>
  <c r="U48" i="26"/>
  <c r="W48" i="26"/>
  <c r="X45" i="26"/>
  <c r="Y45" i="26"/>
  <c r="Z45" i="26" s="1"/>
  <c r="U43" i="26"/>
  <c r="W43" i="26"/>
  <c r="X41" i="26"/>
  <c r="Z41" i="26"/>
  <c r="W36" i="26"/>
  <c r="U36" i="26"/>
  <c r="U32" i="26"/>
  <c r="U28" i="26"/>
  <c r="V28" i="26" s="1"/>
  <c r="W28" i="26" s="1"/>
  <c r="X39" i="26"/>
  <c r="Y39" i="26" s="1"/>
  <c r="Z39" i="26" s="1"/>
  <c r="AA39" i="26" s="1"/>
  <c r="AB39" i="26" s="1"/>
  <c r="AC39" i="26" s="1"/>
  <c r="AD39" i="26" s="1"/>
  <c r="AE39" i="26" s="1"/>
  <c r="AF39" i="26" s="1"/>
  <c r="X26" i="26"/>
  <c r="Y26" i="26" s="1"/>
  <c r="Z26" i="26" s="1"/>
  <c r="W30" i="26"/>
  <c r="U30" i="26"/>
  <c r="T19" i="26"/>
  <c r="X12" i="26"/>
  <c r="Y12" i="26" s="1"/>
  <c r="Z12" i="26" s="1"/>
  <c r="AA12" i="26" s="1"/>
  <c r="AB12" i="26" s="1"/>
  <c r="AC12" i="26" s="1"/>
  <c r="X9" i="26"/>
  <c r="Y9" i="26" s="1"/>
  <c r="Z9" i="26" s="1"/>
  <c r="AA9" i="26" s="1"/>
  <c r="AB9" i="26" s="1"/>
  <c r="AC9" i="26" s="1"/>
  <c r="AD9" i="26" s="1"/>
  <c r="AE9" i="26" s="1"/>
  <c r="AF9" i="26" s="1"/>
  <c r="X4" i="26"/>
  <c r="Y4" i="26" s="1"/>
  <c r="Z4" i="26" s="1"/>
  <c r="AA4" i="26" s="1"/>
  <c r="AB4" i="26" s="1"/>
  <c r="AC4" i="26" s="1"/>
  <c r="X46" i="26"/>
  <c r="Y44" i="26"/>
  <c r="Z44" i="26" s="1"/>
  <c r="W40" i="26"/>
  <c r="U40" i="26"/>
  <c r="X37" i="26"/>
  <c r="Y37" i="26" s="1"/>
  <c r="Z37" i="26" s="1"/>
  <c r="U31" i="26"/>
  <c r="W31" i="26"/>
  <c r="X51" i="26"/>
  <c r="Y51" i="26"/>
  <c r="Z51" i="26" s="1"/>
  <c r="X29" i="26"/>
  <c r="Y29" i="26" s="1"/>
  <c r="Z29" i="26" s="1"/>
  <c r="X24" i="26"/>
  <c r="Y24" i="26" s="1"/>
  <c r="Z24" i="26" s="1"/>
  <c r="Y54" i="26"/>
  <c r="Z54" i="26" s="1"/>
  <c r="AA54" i="26" s="1"/>
  <c r="X54" i="26"/>
  <c r="AG59" i="26"/>
  <c r="AH59" i="26"/>
  <c r="AI59" i="26" s="1"/>
  <c r="X17" i="26"/>
  <c r="Y17" i="26" s="1"/>
  <c r="Z17" i="26" s="1"/>
  <c r="AA17" i="26" s="1"/>
  <c r="AB17" i="26" s="1"/>
  <c r="AC17" i="26" s="1"/>
  <c r="AD17" i="26" s="1"/>
  <c r="AE17" i="26" s="1"/>
  <c r="AF17" i="26" s="1"/>
  <c r="X6" i="26"/>
  <c r="Y6" i="26" s="1"/>
  <c r="Z6" i="26" s="1"/>
  <c r="AA6" i="26" s="1"/>
  <c r="AB6" i="26" s="1"/>
  <c r="AC6" i="26" s="1"/>
  <c r="AD6" i="26" s="1"/>
  <c r="AE6" i="26" s="1"/>
  <c r="AF6" i="26" s="1"/>
  <c r="X10" i="26"/>
  <c r="Y10" i="26" s="1"/>
  <c r="Z10" i="26" s="1"/>
  <c r="AA10" i="26" s="1"/>
  <c r="AB10" i="26" s="1"/>
  <c r="AC10" i="26" s="1"/>
  <c r="AD10" i="26" s="1"/>
  <c r="AE10" i="26" s="1"/>
  <c r="AF10" i="26" s="1"/>
  <c r="W47" i="26"/>
  <c r="U47" i="26"/>
  <c r="U25" i="26"/>
  <c r="V25" i="26" s="1"/>
  <c r="U17" i="26"/>
  <c r="W23" i="26"/>
  <c r="W15" i="26"/>
  <c r="W11" i="26"/>
  <c r="W7" i="26"/>
  <c r="W3" i="26"/>
  <c r="Y55" i="26"/>
  <c r="Z55" i="26" s="1"/>
  <c r="U22" i="26"/>
  <c r="U13" i="26"/>
  <c r="U9" i="26"/>
  <c r="U5" i="26"/>
  <c r="Z53" i="26"/>
  <c r="AA53" i="26" s="1"/>
  <c r="Z49" i="26"/>
  <c r="AA49" i="26" s="1"/>
  <c r="AH60" i="26"/>
  <c r="AI60" i="26" s="1"/>
  <c r="V32" i="26"/>
  <c r="W32" i="26" s="1"/>
  <c r="Z50" i="26"/>
  <c r="AA50" i="26" s="1"/>
  <c r="AH61" i="26"/>
  <c r="AI61" i="26" s="1"/>
  <c r="X55" i="26"/>
  <c r="AA56" i="26"/>
  <c r="AB57" i="26"/>
  <c r="AC57" i="26" s="1"/>
  <c r="AB49" i="26"/>
  <c r="AC49" i="26" s="1"/>
  <c r="AD10" i="27"/>
  <c r="AE10" i="27" s="1"/>
  <c r="AF10" i="27" s="1"/>
  <c r="AG10" i="27" s="1"/>
  <c r="AH10" i="27" s="1"/>
  <c r="AI10" i="27" s="1"/>
  <c r="AJ10" i="27" s="1"/>
  <c r="AF9" i="27"/>
  <c r="AG9" i="27" s="1"/>
  <c r="AH9" i="27" s="1"/>
  <c r="AI9" i="27" s="1"/>
  <c r="AJ9" i="27" s="1"/>
  <c r="V9" i="28" l="1"/>
  <c r="W9" i="28" s="1"/>
  <c r="X9" i="28" s="1"/>
  <c r="Y13" i="28"/>
  <c r="Z13" i="28" s="1"/>
  <c r="AA13" i="28" s="1"/>
  <c r="Y15" i="28"/>
  <c r="Z15" i="28" s="1"/>
  <c r="AA15" i="28" s="1"/>
  <c r="AB15" i="28" s="1"/>
  <c r="AC15" i="28" s="1"/>
  <c r="AD15" i="28" s="1"/>
  <c r="Y11" i="28"/>
  <c r="Z11" i="28" s="1"/>
  <c r="AA11" i="28" s="1"/>
  <c r="AC8" i="27"/>
  <c r="AA8" i="27"/>
  <c r="AB8" i="27" s="1"/>
  <c r="AA14" i="28"/>
  <c r="Y14" i="28"/>
  <c r="Z14" i="28" s="1"/>
  <c r="V6" i="27"/>
  <c r="U12" i="27"/>
  <c r="AM64" i="26"/>
  <c r="AN64" i="26"/>
  <c r="AO64" i="26" s="1"/>
  <c r="Y8" i="28"/>
  <c r="Z8" i="28" s="1"/>
  <c r="AA8" i="28" s="1"/>
  <c r="V10" i="28"/>
  <c r="W10" i="28" s="1"/>
  <c r="X10" i="28"/>
  <c r="AM65" i="26"/>
  <c r="AO65" i="26"/>
  <c r="AN65" i="26"/>
  <c r="AN62" i="26"/>
  <c r="AO62" i="26" s="1"/>
  <c r="T66" i="26"/>
  <c r="V5" i="28"/>
  <c r="X5" i="28"/>
  <c r="X7" i="27"/>
  <c r="Y7" i="27" s="1"/>
  <c r="Y12" i="27" s="1"/>
  <c r="V7" i="28"/>
  <c r="W7" i="28" s="1"/>
  <c r="X7" i="28" s="1"/>
  <c r="U6" i="28"/>
  <c r="S6" i="28"/>
  <c r="S18" i="28" s="1"/>
  <c r="R18" i="28"/>
  <c r="Z5" i="27"/>
  <c r="X5" i="27"/>
  <c r="AM63" i="26"/>
  <c r="AN63" i="26"/>
  <c r="AO63" i="26" s="1"/>
  <c r="S66" i="26"/>
  <c r="V12" i="28"/>
  <c r="W12" i="28" s="1"/>
  <c r="X12" i="28" s="1"/>
  <c r="U4" i="28"/>
  <c r="AM62" i="26"/>
  <c r="U2" i="26"/>
  <c r="AB50" i="26"/>
  <c r="AC50" i="26" s="1"/>
  <c r="X34" i="26"/>
  <c r="Y34" i="26" s="1"/>
  <c r="Z34" i="26" s="1"/>
  <c r="W22" i="25"/>
  <c r="X22" i="25" s="1"/>
  <c r="Y22" i="25" s="1"/>
  <c r="W39" i="25"/>
  <c r="X39" i="25" s="1"/>
  <c r="Y39" i="25" s="1"/>
  <c r="W38" i="25"/>
  <c r="X38" i="25" s="1"/>
  <c r="Y38" i="25" s="1"/>
  <c r="W42" i="25"/>
  <c r="X42" i="25" s="1"/>
  <c r="Y42" i="25" s="1"/>
  <c r="W31" i="25"/>
  <c r="X31" i="25" s="1"/>
  <c r="Y31" i="25" s="1"/>
  <c r="W20" i="25"/>
  <c r="X20" i="25" s="1"/>
  <c r="Y20" i="25" s="1"/>
  <c r="W29" i="25"/>
  <c r="X29" i="25" s="1"/>
  <c r="Y29" i="25" s="1"/>
  <c r="W43" i="25"/>
  <c r="X43" i="25" s="1"/>
  <c r="Y43" i="25" s="1"/>
  <c r="W25" i="25"/>
  <c r="X25" i="25" s="1"/>
  <c r="Y25" i="25" s="1"/>
  <c r="T17" i="25"/>
  <c r="U17" i="25" s="1"/>
  <c r="V17" i="25" s="1"/>
  <c r="W35" i="25"/>
  <c r="X35" i="25" s="1"/>
  <c r="Y35" i="25" s="1"/>
  <c r="T16" i="25"/>
  <c r="U16" i="25" s="1"/>
  <c r="V16" i="25" s="1"/>
  <c r="W37" i="25"/>
  <c r="X37" i="25" s="1"/>
  <c r="Y37" i="25" s="1"/>
  <c r="W40" i="25"/>
  <c r="X40" i="25" s="1"/>
  <c r="Y40" i="25" s="1"/>
  <c r="Y30" i="25"/>
  <c r="W30" i="25"/>
  <c r="X30" i="25" s="1"/>
  <c r="T7" i="25"/>
  <c r="U7" i="25" s="1"/>
  <c r="V7" i="25" s="1"/>
  <c r="W36" i="25"/>
  <c r="X36" i="25" s="1"/>
  <c r="Y36" i="25" s="1"/>
  <c r="T5" i="25"/>
  <c r="U5" i="25" s="1"/>
  <c r="V5" i="25" s="1"/>
  <c r="T13" i="25"/>
  <c r="U13" i="25" s="1"/>
  <c r="V13" i="25" s="1"/>
  <c r="T4" i="25"/>
  <c r="U4" i="25" s="1"/>
  <c r="T12" i="25"/>
  <c r="U12" i="25" s="1"/>
  <c r="V12" i="25" s="1"/>
  <c r="T6" i="25"/>
  <c r="U6" i="25" s="1"/>
  <c r="V6" i="25" s="1"/>
  <c r="V14" i="25"/>
  <c r="T14" i="25"/>
  <c r="U14" i="25" s="1"/>
  <c r="W2" i="25"/>
  <c r="W28" i="25"/>
  <c r="X28" i="25" s="1"/>
  <c r="Y28" i="25" s="1"/>
  <c r="S3" i="25"/>
  <c r="P46" i="25"/>
  <c r="Q3" i="25"/>
  <c r="Q46" i="25" s="1"/>
  <c r="W33" i="25"/>
  <c r="X33" i="25" s="1"/>
  <c r="Y33" i="25" s="1"/>
  <c r="V18" i="25"/>
  <c r="T18" i="25"/>
  <c r="U18" i="25" s="1"/>
  <c r="T9" i="25"/>
  <c r="U9" i="25" s="1"/>
  <c r="V9" i="25" s="1"/>
  <c r="W27" i="25"/>
  <c r="X27" i="25" s="1"/>
  <c r="Y27" i="25" s="1"/>
  <c r="Y24" i="25"/>
  <c r="W24" i="25"/>
  <c r="X24" i="25" s="1"/>
  <c r="W26" i="25"/>
  <c r="X26" i="25" s="1"/>
  <c r="Y26" i="25" s="1"/>
  <c r="W34" i="25"/>
  <c r="X34" i="25" s="1"/>
  <c r="Y34" i="25" s="1"/>
  <c r="T15" i="25"/>
  <c r="U15" i="25" s="1"/>
  <c r="V15" i="25" s="1"/>
  <c r="W23" i="25"/>
  <c r="X23" i="25" s="1"/>
  <c r="Y23" i="25" s="1"/>
  <c r="W32" i="25"/>
  <c r="X32" i="25" s="1"/>
  <c r="Y32" i="25" s="1"/>
  <c r="W41" i="25"/>
  <c r="X41" i="25" s="1"/>
  <c r="Y41" i="25" s="1"/>
  <c r="T11" i="25"/>
  <c r="U11" i="25" s="1"/>
  <c r="V11" i="25" s="1"/>
  <c r="V19" i="25"/>
  <c r="T19" i="25"/>
  <c r="U19" i="25" s="1"/>
  <c r="W21" i="25"/>
  <c r="X21" i="25" s="1"/>
  <c r="Y21" i="25" s="1"/>
  <c r="T8" i="25"/>
  <c r="U8" i="25" s="1"/>
  <c r="V8" i="25" s="1"/>
  <c r="T10" i="25"/>
  <c r="U10" i="25" s="1"/>
  <c r="V10" i="25" s="1"/>
  <c r="AA46" i="26"/>
  <c r="AB46" i="26"/>
  <c r="AC46" i="26" s="1"/>
  <c r="AA44" i="26"/>
  <c r="AB44" i="26" s="1"/>
  <c r="AC44" i="26" s="1"/>
  <c r="AD44" i="26" s="1"/>
  <c r="AE44" i="26" s="1"/>
  <c r="AF44" i="26" s="1"/>
  <c r="AJ60" i="26"/>
  <c r="AK60" i="26"/>
  <c r="AL60" i="26" s="1"/>
  <c r="AJ61" i="26"/>
  <c r="AK61" i="26"/>
  <c r="AL61" i="26" s="1"/>
  <c r="AB54" i="26"/>
  <c r="AC54" i="26" s="1"/>
  <c r="Y42" i="26"/>
  <c r="Z42" i="26" s="1"/>
  <c r="X42" i="26"/>
  <c r="AJ59" i="26"/>
  <c r="AK59" i="26"/>
  <c r="AL59" i="26" s="1"/>
  <c r="AG39" i="26"/>
  <c r="AH39" i="26" s="1"/>
  <c r="AI39" i="26" s="1"/>
  <c r="AG8" i="26"/>
  <c r="AH8" i="26" s="1"/>
  <c r="AI8" i="26" s="1"/>
  <c r="AD21" i="26"/>
  <c r="AE21" i="26" s="1"/>
  <c r="AF21" i="26" s="1"/>
  <c r="AA35" i="26"/>
  <c r="AB35" i="26" s="1"/>
  <c r="AC35" i="26" s="1"/>
  <c r="AD35" i="26" s="1"/>
  <c r="AE35" i="26" s="1"/>
  <c r="AF35" i="26" s="1"/>
  <c r="AD22" i="26"/>
  <c r="AE22" i="26" s="1"/>
  <c r="AF22" i="26" s="1"/>
  <c r="AA55" i="26"/>
  <c r="AB55" i="26"/>
  <c r="AC55" i="26" s="1"/>
  <c r="AG17" i="26"/>
  <c r="AH17" i="26" s="1"/>
  <c r="AI17" i="26" s="1"/>
  <c r="AA37" i="26"/>
  <c r="AB37" i="26" s="1"/>
  <c r="AC37" i="26" s="1"/>
  <c r="AD37" i="26" s="1"/>
  <c r="AE37" i="26" s="1"/>
  <c r="AF37" i="26" s="1"/>
  <c r="AA26" i="26"/>
  <c r="AB26" i="26"/>
  <c r="AC26" i="26" s="1"/>
  <c r="AD5" i="26"/>
  <c r="AE5" i="26" s="1"/>
  <c r="AF5" i="26" s="1"/>
  <c r="AG10" i="26"/>
  <c r="AH10" i="26"/>
  <c r="AI10" i="26" s="1"/>
  <c r="AA24" i="26"/>
  <c r="AB24" i="26" s="1"/>
  <c r="AC24" i="26" s="1"/>
  <c r="AG14" i="26"/>
  <c r="AH14" i="26" s="1"/>
  <c r="AI14" i="26" s="1"/>
  <c r="X32" i="26"/>
  <c r="Y32" i="26" s="1"/>
  <c r="Z32" i="26" s="1"/>
  <c r="AG6" i="26"/>
  <c r="AH6" i="26" s="1"/>
  <c r="AI6" i="26" s="1"/>
  <c r="AA45" i="26"/>
  <c r="AB45" i="26" s="1"/>
  <c r="AC45" i="26" s="1"/>
  <c r="AG16" i="26"/>
  <c r="AH16" i="26" s="1"/>
  <c r="AI16" i="26" s="1"/>
  <c r="AA52" i="26"/>
  <c r="AB52" i="26"/>
  <c r="AC52" i="26" s="1"/>
  <c r="AA29" i="26"/>
  <c r="AB29" i="26"/>
  <c r="AC29" i="26" s="1"/>
  <c r="AA51" i="26"/>
  <c r="AB51" i="26"/>
  <c r="AC51" i="26" s="1"/>
  <c r="AD51" i="26" s="1"/>
  <c r="AA33" i="26"/>
  <c r="AB33" i="26" s="1"/>
  <c r="AC33" i="26" s="1"/>
  <c r="AD33" i="26" s="1"/>
  <c r="AE33" i="26" s="1"/>
  <c r="AF33" i="26" s="1"/>
  <c r="AD4" i="26"/>
  <c r="AE4" i="26" s="1"/>
  <c r="AF4" i="26" s="1"/>
  <c r="AD12" i="26"/>
  <c r="AE12" i="26" s="1"/>
  <c r="AF12" i="26" s="1"/>
  <c r="AD13" i="26"/>
  <c r="AE13" i="26" s="1"/>
  <c r="AF13" i="26" s="1"/>
  <c r="AA27" i="26"/>
  <c r="AB27" i="26" s="1"/>
  <c r="AC27" i="26" s="1"/>
  <c r="AD27" i="26" s="1"/>
  <c r="AE27" i="26" s="1"/>
  <c r="AF27" i="26" s="1"/>
  <c r="X15" i="26"/>
  <c r="Y15" i="26" s="1"/>
  <c r="Z15" i="26" s="1"/>
  <c r="AA15" i="26" s="1"/>
  <c r="AB15" i="26" s="1"/>
  <c r="AC15" i="26" s="1"/>
  <c r="AD15" i="26" s="1"/>
  <c r="AE15" i="26" s="1"/>
  <c r="AF15" i="26" s="1"/>
  <c r="X31" i="26"/>
  <c r="Y31" i="26" s="1"/>
  <c r="Z31" i="26" s="1"/>
  <c r="X30" i="26"/>
  <c r="Y30" i="26" s="1"/>
  <c r="Z30" i="26" s="1"/>
  <c r="AB53" i="26"/>
  <c r="AC53" i="26" s="1"/>
  <c r="AD53" i="26" s="1"/>
  <c r="W25" i="26"/>
  <c r="X11" i="26"/>
  <c r="Y11" i="26" s="1"/>
  <c r="Z11" i="26" s="1"/>
  <c r="AA11" i="26" s="1"/>
  <c r="AB11" i="26" s="1"/>
  <c r="AC11" i="26" s="1"/>
  <c r="AD11" i="26" s="1"/>
  <c r="AE11" i="26" s="1"/>
  <c r="AF11" i="26" s="1"/>
  <c r="X47" i="26"/>
  <c r="Y47" i="26"/>
  <c r="Z47" i="26" s="1"/>
  <c r="AA41" i="26"/>
  <c r="AC41" i="26"/>
  <c r="X20" i="26"/>
  <c r="Y20" i="26" s="1"/>
  <c r="Z20" i="26" s="1"/>
  <c r="AA20" i="26" s="1"/>
  <c r="AB20" i="26" s="1"/>
  <c r="AC20" i="26" s="1"/>
  <c r="AG9" i="26"/>
  <c r="AH9" i="26" s="1"/>
  <c r="AI9" i="26" s="1"/>
  <c r="X7" i="26"/>
  <c r="Y7" i="26" s="1"/>
  <c r="Z7" i="26" s="1"/>
  <c r="AA7" i="26" s="1"/>
  <c r="AB7" i="26" s="1"/>
  <c r="AC7" i="26" s="1"/>
  <c r="AD7" i="26" s="1"/>
  <c r="AE7" i="26" s="1"/>
  <c r="AF7" i="26" s="1"/>
  <c r="U19" i="26"/>
  <c r="W19" i="26"/>
  <c r="X36" i="26"/>
  <c r="Y36" i="26" s="1"/>
  <c r="Z36" i="26" s="1"/>
  <c r="X48" i="26"/>
  <c r="Y48" i="26"/>
  <c r="Z48" i="26" s="1"/>
  <c r="X18" i="26"/>
  <c r="Y18" i="26" s="1"/>
  <c r="Z18" i="26" s="1"/>
  <c r="AA18" i="26" s="1"/>
  <c r="AB18" i="26" s="1"/>
  <c r="AC18" i="26" s="1"/>
  <c r="AD18" i="26" s="1"/>
  <c r="AE18" i="26" s="1"/>
  <c r="AF18" i="26" s="1"/>
  <c r="X38" i="26"/>
  <c r="Y38" i="26" s="1"/>
  <c r="Z38" i="26" s="1"/>
  <c r="X3" i="26"/>
  <c r="Y3" i="26" s="1"/>
  <c r="X23" i="26"/>
  <c r="Y23" i="26" s="1"/>
  <c r="Z23" i="26" s="1"/>
  <c r="AA23" i="26" s="1"/>
  <c r="AB23" i="26" s="1"/>
  <c r="AC23" i="26" s="1"/>
  <c r="AD23" i="26" s="1"/>
  <c r="AE23" i="26" s="1"/>
  <c r="AF23" i="26" s="1"/>
  <c r="X40" i="26"/>
  <c r="Y40" i="26" s="1"/>
  <c r="Z40" i="26" s="1"/>
  <c r="X28" i="26"/>
  <c r="Y28" i="26" s="1"/>
  <c r="Z28" i="26" s="1"/>
  <c r="X43" i="26"/>
  <c r="Y43" i="26"/>
  <c r="Z43" i="26" s="1"/>
  <c r="AD26" i="26"/>
  <c r="AE26" i="26" s="1"/>
  <c r="AF26" i="26" s="1"/>
  <c r="AD57" i="26"/>
  <c r="AE57" i="26" s="1"/>
  <c r="AF57" i="26" s="1"/>
  <c r="AD55" i="26"/>
  <c r="AE55" i="26"/>
  <c r="AF55" i="26" s="1"/>
  <c r="AD54" i="26"/>
  <c r="AE54" i="26"/>
  <c r="AF54" i="26" s="1"/>
  <c r="AE51" i="26"/>
  <c r="AF51" i="26" s="1"/>
  <c r="AE53" i="26"/>
  <c r="AF53" i="26" s="1"/>
  <c r="AB56" i="26"/>
  <c r="AC56" i="26" s="1"/>
  <c r="AD46" i="26"/>
  <c r="AE46" i="26" s="1"/>
  <c r="AF46" i="26" s="1"/>
  <c r="AD52" i="26"/>
  <c r="AE52" i="26"/>
  <c r="AF52" i="26" s="1"/>
  <c r="AD49" i="26"/>
  <c r="AE49" i="26" s="1"/>
  <c r="AF49" i="26" s="1"/>
  <c r="AD29" i="26"/>
  <c r="AE29" i="26" s="1"/>
  <c r="AF29" i="26" s="1"/>
  <c r="AD50" i="26"/>
  <c r="AE50" i="26" s="1"/>
  <c r="AF50" i="26" s="1"/>
  <c r="AQ64" i="26" l="1"/>
  <c r="AR64" i="26" s="1"/>
  <c r="AS64" i="26" s="1"/>
  <c r="AP64" i="26"/>
  <c r="Y12" i="28"/>
  <c r="Z12" i="28" s="1"/>
  <c r="AA12" i="28" s="1"/>
  <c r="AQ62" i="26"/>
  <c r="AR62" i="26" s="1"/>
  <c r="AS62" i="26" s="1"/>
  <c r="AP62" i="26"/>
  <c r="AB11" i="28"/>
  <c r="AC11" i="28" s="1"/>
  <c r="AD11" i="28" s="1"/>
  <c r="Y7" i="28"/>
  <c r="Z7" i="28" s="1"/>
  <c r="AA7" i="28"/>
  <c r="AE15" i="28"/>
  <c r="AF15" i="28" s="1"/>
  <c r="AG15" i="28" s="1"/>
  <c r="AH15" i="28" s="1"/>
  <c r="AI15" i="28" s="1"/>
  <c r="AJ15" i="28" s="1"/>
  <c r="AD13" i="28"/>
  <c r="AB13" i="28"/>
  <c r="AC13" i="28" s="1"/>
  <c r="AQ63" i="26"/>
  <c r="AR63" i="26" s="1"/>
  <c r="AS63" i="26" s="1"/>
  <c r="AP63" i="26"/>
  <c r="AB8" i="28"/>
  <c r="AC8" i="28" s="1"/>
  <c r="AD8" i="28" s="1"/>
  <c r="Y9" i="28"/>
  <c r="Z9" i="28" s="1"/>
  <c r="AA9" i="28"/>
  <c r="AM60" i="26"/>
  <c r="AN60" i="26"/>
  <c r="AO60" i="26"/>
  <c r="X4" i="28"/>
  <c r="U18" i="28"/>
  <c r="V4" i="28"/>
  <c r="V18" i="28" s="1"/>
  <c r="V6" i="28"/>
  <c r="W6" i="28" s="1"/>
  <c r="W18" i="28" s="1"/>
  <c r="V28" i="28" s="1"/>
  <c r="V29" i="28" s="1"/>
  <c r="X6" i="28"/>
  <c r="AD8" i="27"/>
  <c r="AE8" i="27"/>
  <c r="AF8" i="27" s="1"/>
  <c r="U66" i="26"/>
  <c r="AQ65" i="26"/>
  <c r="AR65" i="26"/>
  <c r="AS65" i="26" s="1"/>
  <c r="AP65" i="26"/>
  <c r="Z7" i="27"/>
  <c r="AM59" i="26"/>
  <c r="AN59" i="26"/>
  <c r="AO59" i="26" s="1"/>
  <c r="AB14" i="28"/>
  <c r="AC14" i="28" s="1"/>
  <c r="AD14" i="28"/>
  <c r="Y5" i="28"/>
  <c r="Z5" i="28" s="1"/>
  <c r="AA5" i="28" s="1"/>
  <c r="Y10" i="28"/>
  <c r="Z10" i="28" s="1"/>
  <c r="AA10" i="28" s="1"/>
  <c r="AM61" i="26"/>
  <c r="AN61" i="26"/>
  <c r="AO61" i="26"/>
  <c r="AA5" i="27"/>
  <c r="V12" i="27"/>
  <c r="W6" i="27"/>
  <c r="AA34" i="26"/>
  <c r="AB34" i="26"/>
  <c r="AC34" i="26" s="1"/>
  <c r="AD34" i="26" s="1"/>
  <c r="AE34" i="26" s="1"/>
  <c r="AF34" i="26" s="1"/>
  <c r="V2" i="26"/>
  <c r="V66" i="26" s="1"/>
  <c r="W12" i="25"/>
  <c r="X12" i="25" s="1"/>
  <c r="Y12" i="25" s="1"/>
  <c r="Z25" i="25"/>
  <c r="AA25" i="25" s="1"/>
  <c r="AB25" i="25" s="1"/>
  <c r="W15" i="25"/>
  <c r="X15" i="25" s="1"/>
  <c r="Y15" i="25" s="1"/>
  <c r="W5" i="25"/>
  <c r="X5" i="25" s="1"/>
  <c r="Y5" i="25" s="1"/>
  <c r="W8" i="25"/>
  <c r="X8" i="25" s="1"/>
  <c r="Y8" i="25" s="1"/>
  <c r="Z23" i="25"/>
  <c r="AA23" i="25" s="1"/>
  <c r="AB23" i="25" s="1"/>
  <c r="Z27" i="25"/>
  <c r="AA27" i="25" s="1"/>
  <c r="AB27" i="25" s="1"/>
  <c r="Z33" i="25"/>
  <c r="AA33" i="25" s="1"/>
  <c r="AB33" i="25" s="1"/>
  <c r="Z28" i="25"/>
  <c r="AA28" i="25" s="1"/>
  <c r="AB28" i="25" s="1"/>
  <c r="W13" i="25"/>
  <c r="X13" i="25" s="1"/>
  <c r="Y13" i="25" s="1"/>
  <c r="Z35" i="25"/>
  <c r="AA35" i="25" s="1"/>
  <c r="AB35" i="25" s="1"/>
  <c r="Z29" i="25"/>
  <c r="AA29" i="25" s="1"/>
  <c r="AB29" i="25" s="1"/>
  <c r="Z22" i="25"/>
  <c r="AA22" i="25" s="1"/>
  <c r="AB22" i="25" s="1"/>
  <c r="Z41" i="25"/>
  <c r="AA41" i="25" s="1"/>
  <c r="AB41" i="25" s="1"/>
  <c r="Z37" i="25"/>
  <c r="AA37" i="25" s="1"/>
  <c r="AB37" i="25" s="1"/>
  <c r="Z38" i="25"/>
  <c r="AA38" i="25" s="1"/>
  <c r="AB38" i="25" s="1"/>
  <c r="W11" i="25"/>
  <c r="X11" i="25" s="1"/>
  <c r="Y11" i="25" s="1"/>
  <c r="W9" i="25"/>
  <c r="X9" i="25" s="1"/>
  <c r="Y9" i="25" s="1"/>
  <c r="W17" i="25"/>
  <c r="X17" i="25" s="1"/>
  <c r="Y17" i="25" s="1"/>
  <c r="W10" i="25"/>
  <c r="X10" i="25" s="1"/>
  <c r="Y10" i="25" s="1"/>
  <c r="Z32" i="25"/>
  <c r="AA32" i="25" s="1"/>
  <c r="AB32" i="25" s="1"/>
  <c r="W16" i="25"/>
  <c r="X16" i="25" s="1"/>
  <c r="Y16" i="25" s="1"/>
  <c r="Z43" i="25"/>
  <c r="AA43" i="25" s="1"/>
  <c r="AB43" i="25" s="1"/>
  <c r="Z31" i="25"/>
  <c r="AA31" i="25" s="1"/>
  <c r="AB31" i="25" s="1"/>
  <c r="Z39" i="25"/>
  <c r="AA39" i="25" s="1"/>
  <c r="AB39" i="25" s="1"/>
  <c r="Z40" i="25"/>
  <c r="AA40" i="25" s="1"/>
  <c r="AB40" i="25" s="1"/>
  <c r="V3" i="25"/>
  <c r="T3" i="25"/>
  <c r="T46" i="25" s="1"/>
  <c r="S46" i="25"/>
  <c r="Z26" i="25"/>
  <c r="AA26" i="25" s="1"/>
  <c r="AB26" i="25" s="1"/>
  <c r="W18" i="25"/>
  <c r="X18" i="25" s="1"/>
  <c r="Y18" i="25" s="1"/>
  <c r="X2" i="25"/>
  <c r="Y14" i="25"/>
  <c r="W14" i="25"/>
  <c r="X14" i="25" s="1"/>
  <c r="Z36" i="25"/>
  <c r="AA36" i="25" s="1"/>
  <c r="AB36" i="25" s="1"/>
  <c r="Z30" i="25"/>
  <c r="AA30" i="25" s="1"/>
  <c r="AB30" i="25" s="1"/>
  <c r="U46" i="25"/>
  <c r="V4" i="25"/>
  <c r="Z34" i="25"/>
  <c r="AA34" i="25" s="1"/>
  <c r="AB34" i="25" s="1"/>
  <c r="W6" i="25"/>
  <c r="X6" i="25" s="1"/>
  <c r="Y6" i="25" s="1"/>
  <c r="W7" i="25"/>
  <c r="X7" i="25" s="1"/>
  <c r="Y7" i="25" s="1"/>
  <c r="W19" i="25"/>
  <c r="X19" i="25" s="1"/>
  <c r="Y19" i="25" s="1"/>
  <c r="Z24" i="25"/>
  <c r="AA24" i="25" s="1"/>
  <c r="AB24" i="25" s="1"/>
  <c r="AB20" i="25"/>
  <c r="Z20" i="25"/>
  <c r="AA20" i="25" s="1"/>
  <c r="Z42" i="25"/>
  <c r="AA42" i="25" s="1"/>
  <c r="AB42" i="25" s="1"/>
  <c r="Z21" i="25"/>
  <c r="AA21" i="25" s="1"/>
  <c r="AB21" i="25" s="1"/>
  <c r="AJ10" i="26"/>
  <c r="AK10" i="26" s="1"/>
  <c r="AL10" i="26" s="1"/>
  <c r="AJ9" i="26"/>
  <c r="AK9" i="26"/>
  <c r="AL9" i="26" s="1"/>
  <c r="AD45" i="26"/>
  <c r="AE45" i="26" s="1"/>
  <c r="AF45" i="26" s="1"/>
  <c r="AJ16" i="26"/>
  <c r="AK16" i="26" s="1"/>
  <c r="AL16" i="26" s="1"/>
  <c r="AJ14" i="26"/>
  <c r="AK14" i="26" s="1"/>
  <c r="AL14" i="26" s="1"/>
  <c r="AJ8" i="26"/>
  <c r="AK8" i="26" s="1"/>
  <c r="AL8" i="26" s="1"/>
  <c r="AJ17" i="26"/>
  <c r="AK17" i="26" s="1"/>
  <c r="AL17" i="26" s="1"/>
  <c r="AJ6" i="26"/>
  <c r="AK6" i="26" s="1"/>
  <c r="AL6" i="26" s="1"/>
  <c r="AA42" i="26"/>
  <c r="AB42" i="26" s="1"/>
  <c r="AC42" i="26" s="1"/>
  <c r="AJ39" i="26"/>
  <c r="AK39" i="26" s="1"/>
  <c r="AL39" i="26" s="1"/>
  <c r="AA28" i="26"/>
  <c r="AB28" i="26" s="1"/>
  <c r="AC28" i="26" s="1"/>
  <c r="AD28" i="26" s="1"/>
  <c r="AE28" i="26" s="1"/>
  <c r="AF28" i="26" s="1"/>
  <c r="AG27" i="26"/>
  <c r="AH27" i="26" s="1"/>
  <c r="AI27" i="26" s="1"/>
  <c r="AG21" i="26"/>
  <c r="AH21" i="26" s="1"/>
  <c r="AI21" i="26" s="1"/>
  <c r="AA38" i="26"/>
  <c r="AB38" i="26" s="1"/>
  <c r="AC38" i="26" s="1"/>
  <c r="AG15" i="26"/>
  <c r="AH15" i="26" s="1"/>
  <c r="AI15" i="26" s="1"/>
  <c r="AG12" i="26"/>
  <c r="AH12" i="26" s="1"/>
  <c r="AI12" i="26" s="1"/>
  <c r="AD24" i="26"/>
  <c r="AE24" i="26" s="1"/>
  <c r="AF24" i="26" s="1"/>
  <c r="AG5" i="26"/>
  <c r="AH5" i="26" s="1"/>
  <c r="AI5" i="26" s="1"/>
  <c r="AG22" i="26"/>
  <c r="AH22" i="26" s="1"/>
  <c r="AI22" i="26" s="1"/>
  <c r="AG11" i="26"/>
  <c r="AH11" i="26" s="1"/>
  <c r="AI11" i="26" s="1"/>
  <c r="AA32" i="26"/>
  <c r="AB32" i="26" s="1"/>
  <c r="AC32" i="26" s="1"/>
  <c r="AD32" i="26" s="1"/>
  <c r="AE32" i="26" s="1"/>
  <c r="AF32" i="26" s="1"/>
  <c r="AA43" i="26"/>
  <c r="AB43" i="26" s="1"/>
  <c r="AC43" i="26" s="1"/>
  <c r="AD43" i="26" s="1"/>
  <c r="AE43" i="26" s="1"/>
  <c r="AF43" i="26" s="1"/>
  <c r="AA40" i="26"/>
  <c r="AB40" i="26" s="1"/>
  <c r="AC40" i="26" s="1"/>
  <c r="AD40" i="26" s="1"/>
  <c r="AE40" i="26" s="1"/>
  <c r="AF40" i="26" s="1"/>
  <c r="AA47" i="26"/>
  <c r="AB47" i="26"/>
  <c r="AC47" i="26" s="1"/>
  <c r="AA31" i="26"/>
  <c r="AB31" i="26" s="1"/>
  <c r="AC31" i="26" s="1"/>
  <c r="AD31" i="26" s="1"/>
  <c r="AE31" i="26" s="1"/>
  <c r="AF31" i="26" s="1"/>
  <c r="AG13" i="26"/>
  <c r="AH13" i="26" s="1"/>
  <c r="AI13" i="26" s="1"/>
  <c r="Z3" i="26"/>
  <c r="AG18" i="26"/>
  <c r="AH18" i="26" s="1"/>
  <c r="AI18" i="26" s="1"/>
  <c r="AA36" i="26"/>
  <c r="AB36" i="26" s="1"/>
  <c r="AC36" i="26" s="1"/>
  <c r="AG35" i="26"/>
  <c r="AH35" i="26" s="1"/>
  <c r="AI35" i="26" s="1"/>
  <c r="AA48" i="26"/>
  <c r="AB48" i="26"/>
  <c r="AC48" i="26" s="1"/>
  <c r="AD48" i="26" s="1"/>
  <c r="AE48" i="26" s="1"/>
  <c r="AF48" i="26" s="1"/>
  <c r="AD20" i="26"/>
  <c r="AE20" i="26" s="1"/>
  <c r="AF20" i="26" s="1"/>
  <c r="AG46" i="26"/>
  <c r="AH46" i="26" s="1"/>
  <c r="AI46" i="26" s="1"/>
  <c r="X25" i="26"/>
  <c r="Y25" i="26" s="1"/>
  <c r="Z25" i="26" s="1"/>
  <c r="AG52" i="26"/>
  <c r="AH52" i="26" s="1"/>
  <c r="AI52" i="26" s="1"/>
  <c r="AG50" i="26"/>
  <c r="AH50" i="26"/>
  <c r="AI50" i="26" s="1"/>
  <c r="AG33" i="26"/>
  <c r="AH33" i="26" s="1"/>
  <c r="AI33" i="26" s="1"/>
  <c r="AG54" i="26"/>
  <c r="AH54" i="26" s="1"/>
  <c r="AI54" i="26" s="1"/>
  <c r="AG23" i="26"/>
  <c r="AH23" i="26" s="1"/>
  <c r="AI23" i="26" s="1"/>
  <c r="X19" i="26"/>
  <c r="Y19" i="26" s="1"/>
  <c r="AD41" i="26"/>
  <c r="AF41" i="26"/>
  <c r="AG41" i="26" s="1"/>
  <c r="AA30" i="26"/>
  <c r="AB30" i="26" s="1"/>
  <c r="AC30" i="26" s="1"/>
  <c r="AD30" i="26" s="1"/>
  <c r="AE30" i="26" s="1"/>
  <c r="AF30" i="26" s="1"/>
  <c r="AG34" i="26"/>
  <c r="AH34" i="26" s="1"/>
  <c r="AI34" i="26" s="1"/>
  <c r="AG49" i="26"/>
  <c r="AH49" i="26" s="1"/>
  <c r="AI49" i="26" s="1"/>
  <c r="AG53" i="26"/>
  <c r="AH53" i="26" s="1"/>
  <c r="AI53" i="26" s="1"/>
  <c r="AG51" i="26"/>
  <c r="AH51" i="26" s="1"/>
  <c r="AI51" i="26" s="1"/>
  <c r="AG55" i="26"/>
  <c r="AH55" i="26" s="1"/>
  <c r="AI55" i="26" s="1"/>
  <c r="AG57" i="26"/>
  <c r="AH57" i="26"/>
  <c r="AI57" i="26" s="1"/>
  <c r="AG44" i="26"/>
  <c r="AH44" i="26" s="1"/>
  <c r="AI44" i="26" s="1"/>
  <c r="AG26" i="26"/>
  <c r="AH26" i="26" s="1"/>
  <c r="AI26" i="26" s="1"/>
  <c r="AG29" i="26"/>
  <c r="AH29" i="26" s="1"/>
  <c r="AI29" i="26" s="1"/>
  <c r="AG37" i="26"/>
  <c r="AH37" i="26" s="1"/>
  <c r="AI37" i="26" s="1"/>
  <c r="AG7" i="26"/>
  <c r="AH7" i="26" s="1"/>
  <c r="AI7" i="26" s="1"/>
  <c r="AG4" i="26"/>
  <c r="AH4" i="26" s="1"/>
  <c r="AI4" i="26" s="1"/>
  <c r="AI41" i="26"/>
  <c r="AL41" i="26" s="1"/>
  <c r="AD56" i="26"/>
  <c r="AE56" i="26" s="1"/>
  <c r="AF56" i="26" s="1"/>
  <c r="AE58" i="26"/>
  <c r="AD58" i="26"/>
  <c r="AK15" i="28" l="1"/>
  <c r="AL15" i="28" s="1"/>
  <c r="AM15" i="28" s="1"/>
  <c r="AN15" i="28" s="1"/>
  <c r="AO15" i="28" s="1"/>
  <c r="AP15" i="28" s="1"/>
  <c r="AQ15" i="28" s="1"/>
  <c r="AM10" i="26"/>
  <c r="AN10" i="26"/>
  <c r="AO10" i="26" s="1"/>
  <c r="AE11" i="28"/>
  <c r="AF11" i="28" s="1"/>
  <c r="AG11" i="28" s="1"/>
  <c r="AB5" i="28"/>
  <c r="AC5" i="28" s="1"/>
  <c r="AD5" i="28"/>
  <c r="AB12" i="28"/>
  <c r="AC12" i="28" s="1"/>
  <c r="AD12" i="28" s="1"/>
  <c r="AG8" i="27"/>
  <c r="AH8" i="27" s="1"/>
  <c r="AI8" i="27" s="1"/>
  <c r="AJ8" i="27"/>
  <c r="AE8" i="28"/>
  <c r="AF8" i="28" s="1"/>
  <c r="AG8" i="28" s="1"/>
  <c r="AP59" i="26"/>
  <c r="AQ59" i="26"/>
  <c r="AR59" i="26" s="1"/>
  <c r="AS59" i="26" s="1"/>
  <c r="AB10" i="28"/>
  <c r="AC10" i="28" s="1"/>
  <c r="AD10" i="28"/>
  <c r="AM6" i="26"/>
  <c r="AO6" i="26"/>
  <c r="AN6" i="26"/>
  <c r="AB7" i="28"/>
  <c r="AC7" i="28" s="1"/>
  <c r="AD7" i="28" s="1"/>
  <c r="AM17" i="26"/>
  <c r="AN17" i="26"/>
  <c r="AO17" i="26" s="1"/>
  <c r="AD9" i="28"/>
  <c r="AB9" i="28"/>
  <c r="AC9" i="28" s="1"/>
  <c r="AM8" i="26"/>
  <c r="AO8" i="26"/>
  <c r="AN8" i="26"/>
  <c r="AM14" i="26"/>
  <c r="AN14" i="26" s="1"/>
  <c r="AO14" i="26" s="1"/>
  <c r="Z6" i="27"/>
  <c r="X6" i="27"/>
  <c r="X12" i="27" s="1"/>
  <c r="W12" i="27"/>
  <c r="AE14" i="28"/>
  <c r="AF14" i="28" s="1"/>
  <c r="AG14" i="28"/>
  <c r="AM16" i="26"/>
  <c r="AN16" i="26"/>
  <c r="AO16" i="26" s="1"/>
  <c r="Y6" i="28"/>
  <c r="Z6" i="28" s="1"/>
  <c r="AA6" i="28" s="1"/>
  <c r="AM39" i="26"/>
  <c r="AN39" i="26" s="1"/>
  <c r="AO39" i="26" s="1"/>
  <c r="AM41" i="26"/>
  <c r="AO41" i="26"/>
  <c r="AM9" i="26"/>
  <c r="AN9" i="26" s="1"/>
  <c r="AO9" i="26" s="1"/>
  <c r="AB5" i="27"/>
  <c r="AP60" i="26"/>
  <c r="AQ60" i="26" s="1"/>
  <c r="AR60" i="26" s="1"/>
  <c r="AS60" i="26" s="1"/>
  <c r="AQ61" i="26"/>
  <c r="AR61" i="26" s="1"/>
  <c r="AS61" i="26" s="1"/>
  <c r="AP61" i="26"/>
  <c r="AA7" i="27"/>
  <c r="AB7" i="27" s="1"/>
  <c r="AC7" i="27" s="1"/>
  <c r="Y4" i="28"/>
  <c r="X18" i="28"/>
  <c r="AE13" i="28"/>
  <c r="AF13" i="28" s="1"/>
  <c r="AG13" i="28" s="1"/>
  <c r="W2" i="26"/>
  <c r="W66" i="26" s="1"/>
  <c r="Z7" i="25"/>
  <c r="AA7" i="25" s="1"/>
  <c r="AB7" i="25" s="1"/>
  <c r="AC31" i="25"/>
  <c r="AD31" i="25" s="1"/>
  <c r="AE31" i="25" s="1"/>
  <c r="Z10" i="25"/>
  <c r="AA10" i="25" s="1"/>
  <c r="AB10" i="25" s="1"/>
  <c r="AC23" i="25"/>
  <c r="AD23" i="25" s="1"/>
  <c r="AE23" i="25" s="1"/>
  <c r="Z19" i="25"/>
  <c r="AA19" i="25" s="1"/>
  <c r="AB19" i="25" s="1"/>
  <c r="AC34" i="25"/>
  <c r="AD34" i="25" s="1"/>
  <c r="AE34" i="25" s="1"/>
  <c r="AF34" i="25" s="1"/>
  <c r="AG34" i="25" s="1"/>
  <c r="AI34" i="25" s="1"/>
  <c r="AJ34" i="25" s="1"/>
  <c r="AC39" i="25"/>
  <c r="AD39" i="25" s="1"/>
  <c r="AE39" i="25" s="1"/>
  <c r="AC32" i="25"/>
  <c r="AD32" i="25" s="1"/>
  <c r="AE32" i="25" s="1"/>
  <c r="AF32" i="25" s="1"/>
  <c r="AG32" i="25" s="1"/>
  <c r="AI32" i="25" s="1"/>
  <c r="AJ32" i="25" s="1"/>
  <c r="AC27" i="25"/>
  <c r="AD27" i="25" s="1"/>
  <c r="AE27" i="25" s="1"/>
  <c r="Z12" i="25"/>
  <c r="AA12" i="25" s="1"/>
  <c r="AB12" i="25" s="1"/>
  <c r="AC42" i="25"/>
  <c r="AD42" i="25" s="1"/>
  <c r="AE42" i="25"/>
  <c r="AF42" i="25" s="1"/>
  <c r="AG42" i="25" s="1"/>
  <c r="AI42" i="25" s="1"/>
  <c r="AJ42" i="25" s="1"/>
  <c r="AC30" i="25"/>
  <c r="AD30" i="25" s="1"/>
  <c r="AE30" i="25" s="1"/>
  <c r="AF30" i="25" s="1"/>
  <c r="AG30" i="25" s="1"/>
  <c r="AI30" i="25" s="1"/>
  <c r="AJ30" i="25" s="1"/>
  <c r="AC26" i="25"/>
  <c r="AD26" i="25" s="1"/>
  <c r="AE26" i="25" s="1"/>
  <c r="AF26" i="25" s="1"/>
  <c r="AG26" i="25" s="1"/>
  <c r="AI26" i="25" s="1"/>
  <c r="AJ26" i="25" s="1"/>
  <c r="AC40" i="25"/>
  <c r="AD40" i="25" s="1"/>
  <c r="AE40" i="25" s="1"/>
  <c r="AF40" i="25" s="1"/>
  <c r="AG40" i="25" s="1"/>
  <c r="AI40" i="25" s="1"/>
  <c r="Z16" i="25"/>
  <c r="AA16" i="25" s="1"/>
  <c r="AB16" i="25" s="1"/>
  <c r="AC41" i="25"/>
  <c r="AD41" i="25" s="1"/>
  <c r="AE41" i="25" s="1"/>
  <c r="AC35" i="25"/>
  <c r="AD35" i="25" s="1"/>
  <c r="AE35" i="25" s="1"/>
  <c r="AC33" i="25"/>
  <c r="AD33" i="25" s="1"/>
  <c r="AE33" i="25" s="1"/>
  <c r="AC25" i="25"/>
  <c r="AD25" i="25" s="1"/>
  <c r="AE25" i="25" s="1"/>
  <c r="AC43" i="25"/>
  <c r="AD43" i="25" s="1"/>
  <c r="AE43" i="25" s="1"/>
  <c r="AC37" i="25"/>
  <c r="AD37" i="25" s="1"/>
  <c r="AE37" i="25" s="1"/>
  <c r="AC29" i="25"/>
  <c r="AD29" i="25" s="1"/>
  <c r="AE29" i="25" s="1"/>
  <c r="AC28" i="25"/>
  <c r="AD28" i="25" s="1"/>
  <c r="AE28" i="25" s="1"/>
  <c r="AF28" i="25" s="1"/>
  <c r="AG28" i="25" s="1"/>
  <c r="AI28" i="25" s="1"/>
  <c r="AJ28" i="25" s="1"/>
  <c r="Z8" i="25"/>
  <c r="AA8" i="25" s="1"/>
  <c r="AB8" i="25" s="1"/>
  <c r="AC21" i="25"/>
  <c r="AD21" i="25" s="1"/>
  <c r="AE21" i="25" s="1"/>
  <c r="AC20" i="25"/>
  <c r="AD20" i="25" s="1"/>
  <c r="AE20" i="25" s="1"/>
  <c r="AF20" i="25" s="1"/>
  <c r="AG20" i="25" s="1"/>
  <c r="AI20" i="25" s="1"/>
  <c r="AJ20" i="25" s="1"/>
  <c r="Z6" i="25"/>
  <c r="AA6" i="25" s="1"/>
  <c r="AB6" i="25"/>
  <c r="AC36" i="25"/>
  <c r="AD36" i="25" s="1"/>
  <c r="AE36" i="25" s="1"/>
  <c r="AF36" i="25" s="1"/>
  <c r="AG36" i="25" s="1"/>
  <c r="AI36" i="25" s="1"/>
  <c r="AJ36" i="25" s="1"/>
  <c r="Y2" i="25"/>
  <c r="Z9" i="25"/>
  <c r="AA9" i="25" s="1"/>
  <c r="AB9" i="25" s="1"/>
  <c r="AC38" i="25"/>
  <c r="AD38" i="25" s="1"/>
  <c r="AE38" i="25" s="1"/>
  <c r="AF38" i="25" s="1"/>
  <c r="AG38" i="25" s="1"/>
  <c r="AI38" i="25" s="1"/>
  <c r="AJ38" i="25" s="1"/>
  <c r="Z13" i="25"/>
  <c r="AA13" i="25" s="1"/>
  <c r="AB13" i="25" s="1"/>
  <c r="Z5" i="25"/>
  <c r="AA5" i="25" s="1"/>
  <c r="AB5" i="25" s="1"/>
  <c r="W4" i="25"/>
  <c r="X4" i="25" s="1"/>
  <c r="Y4" i="25" s="1"/>
  <c r="W3" i="25"/>
  <c r="V46" i="25"/>
  <c r="AC24" i="25"/>
  <c r="AD24" i="25" s="1"/>
  <c r="AE24" i="25" s="1"/>
  <c r="AF24" i="25" s="1"/>
  <c r="AG24" i="25" s="1"/>
  <c r="AI24" i="25" s="1"/>
  <c r="AJ24" i="25" s="1"/>
  <c r="Z14" i="25"/>
  <c r="AA14" i="25" s="1"/>
  <c r="AB14" i="25" s="1"/>
  <c r="Z18" i="25"/>
  <c r="AA18" i="25" s="1"/>
  <c r="AB18" i="25" s="1"/>
  <c r="AB17" i="25"/>
  <c r="Z17" i="25"/>
  <c r="AA17" i="25" s="1"/>
  <c r="Z11" i="25"/>
  <c r="AA11" i="25" s="1"/>
  <c r="AB11" i="25" s="1"/>
  <c r="AC22" i="25"/>
  <c r="AD22" i="25" s="1"/>
  <c r="AE22" i="25" s="1"/>
  <c r="AF22" i="25" s="1"/>
  <c r="AG22" i="25" s="1"/>
  <c r="AI22" i="25" s="1"/>
  <c r="AJ22" i="25" s="1"/>
  <c r="Z15" i="25"/>
  <c r="AA15" i="25" s="1"/>
  <c r="AB15" i="25" s="1"/>
  <c r="AJ4" i="26"/>
  <c r="AK4" i="26" s="1"/>
  <c r="AL4" i="26" s="1"/>
  <c r="AJ54" i="26"/>
  <c r="AK54" i="26" s="1"/>
  <c r="AL54" i="26" s="1"/>
  <c r="AJ15" i="26"/>
  <c r="AK15" i="26"/>
  <c r="AL15" i="26" s="1"/>
  <c r="AG45" i="26"/>
  <c r="AH45" i="26" s="1"/>
  <c r="AI45" i="26" s="1"/>
  <c r="AJ37" i="26"/>
  <c r="AK37" i="26"/>
  <c r="AL37" i="26" s="1"/>
  <c r="AJ7" i="26"/>
  <c r="AK7" i="26" s="1"/>
  <c r="AL7" i="26" s="1"/>
  <c r="AJ51" i="26"/>
  <c r="AK51" i="26"/>
  <c r="AL51" i="26" s="1"/>
  <c r="AJ18" i="26"/>
  <c r="AK18" i="26" s="1"/>
  <c r="AL18" i="26" s="1"/>
  <c r="AJ5" i="26"/>
  <c r="AK5" i="26" s="1"/>
  <c r="AL5" i="26" s="1"/>
  <c r="AJ26" i="26"/>
  <c r="AK26" i="26" s="1"/>
  <c r="AL26" i="26" s="1"/>
  <c r="AJ49" i="26"/>
  <c r="AK49" i="26"/>
  <c r="AL49" i="26" s="1"/>
  <c r="AJ52" i="26"/>
  <c r="AK52" i="26" s="1"/>
  <c r="AL52" i="26" s="1"/>
  <c r="AJ13" i="26"/>
  <c r="AK13" i="26"/>
  <c r="AL13" i="26" s="1"/>
  <c r="AJ29" i="26"/>
  <c r="AK29" i="26"/>
  <c r="AL29" i="26" s="1"/>
  <c r="AJ53" i="26"/>
  <c r="AK53" i="26"/>
  <c r="AL53" i="26" s="1"/>
  <c r="AJ46" i="26"/>
  <c r="AK46" i="26" s="1"/>
  <c r="AL46" i="26" s="1"/>
  <c r="AJ11" i="26"/>
  <c r="AK11" i="26" s="1"/>
  <c r="AL11" i="26" s="1"/>
  <c r="AJ57" i="26"/>
  <c r="AK57" i="26"/>
  <c r="AL57" i="26" s="1"/>
  <c r="AJ50" i="26"/>
  <c r="AK50" i="26"/>
  <c r="AL50" i="26" s="1"/>
  <c r="AJ35" i="26"/>
  <c r="AK35" i="26"/>
  <c r="AL35" i="26" s="1"/>
  <c r="AJ21" i="26"/>
  <c r="AK21" i="26"/>
  <c r="AL21" i="26" s="1"/>
  <c r="AD42" i="26"/>
  <c r="AE42" i="26" s="1"/>
  <c r="AF42" i="26" s="1"/>
  <c r="AG42" i="26" s="1"/>
  <c r="AH42" i="26" s="1"/>
  <c r="AI42" i="26" s="1"/>
  <c r="AJ34" i="26"/>
  <c r="AK34" i="26" s="1"/>
  <c r="AL34" i="26" s="1"/>
  <c r="AJ44" i="26"/>
  <c r="AK44" i="26" s="1"/>
  <c r="AL44" i="26" s="1"/>
  <c r="AJ23" i="26"/>
  <c r="AK23" i="26" s="1"/>
  <c r="AL23" i="26" s="1"/>
  <c r="AJ33" i="26"/>
  <c r="AK33" i="26" s="1"/>
  <c r="AL33" i="26" s="1"/>
  <c r="AJ55" i="26"/>
  <c r="AK55" i="26" s="1"/>
  <c r="AL55" i="26" s="1"/>
  <c r="AJ22" i="26"/>
  <c r="AK22" i="26" s="1"/>
  <c r="AL22" i="26" s="1"/>
  <c r="AJ12" i="26"/>
  <c r="AK12" i="26" s="1"/>
  <c r="AL12" i="26" s="1"/>
  <c r="AJ27" i="26"/>
  <c r="AK27" i="26" s="1"/>
  <c r="AL27" i="26" s="1"/>
  <c r="AD36" i="26"/>
  <c r="AE36" i="26" s="1"/>
  <c r="AF36" i="26" s="1"/>
  <c r="AG24" i="26"/>
  <c r="AH24" i="26" s="1"/>
  <c r="AI24" i="26" s="1"/>
  <c r="AA25" i="26"/>
  <c r="AB25" i="26" s="1"/>
  <c r="AC25" i="26" s="1"/>
  <c r="AD25" i="26" s="1"/>
  <c r="AE25" i="26" s="1"/>
  <c r="AF25" i="26" s="1"/>
  <c r="AG32" i="26"/>
  <c r="AH32" i="26" s="1"/>
  <c r="AI32" i="26" s="1"/>
  <c r="AG31" i="26"/>
  <c r="AH31" i="26" s="1"/>
  <c r="AI31" i="26" s="1"/>
  <c r="AG43" i="26"/>
  <c r="AH43" i="26" s="1"/>
  <c r="AI43" i="26" s="1"/>
  <c r="AG40" i="26"/>
  <c r="AH40" i="26" s="1"/>
  <c r="AI40" i="26" s="1"/>
  <c r="AG30" i="26"/>
  <c r="AH30" i="26" s="1"/>
  <c r="AI30" i="26" s="1"/>
  <c r="Z19" i="26"/>
  <c r="AA19" i="26" s="1"/>
  <c r="AB19" i="26" s="1"/>
  <c r="AC19" i="26" s="1"/>
  <c r="AD19" i="26" s="1"/>
  <c r="AE19" i="26" s="1"/>
  <c r="AF19" i="26" s="1"/>
  <c r="AG28" i="26"/>
  <c r="AH28" i="26" s="1"/>
  <c r="AI28" i="26" s="1"/>
  <c r="AG56" i="26"/>
  <c r="AH56" i="26" s="1"/>
  <c r="AI56" i="26" s="1"/>
  <c r="AA3" i="26"/>
  <c r="AD38" i="26"/>
  <c r="AE38" i="26" s="1"/>
  <c r="AF38" i="26" s="1"/>
  <c r="AG48" i="26"/>
  <c r="AH48" i="26" s="1"/>
  <c r="AI48" i="26" s="1"/>
  <c r="AD47" i="26"/>
  <c r="AE47" i="26" s="1"/>
  <c r="AF47" i="26" s="1"/>
  <c r="AG20" i="26"/>
  <c r="AH20" i="26" s="1"/>
  <c r="AI20" i="26" s="1"/>
  <c r="AJ41" i="26"/>
  <c r="AF58" i="26"/>
  <c r="AH13" i="28" l="1"/>
  <c r="AI13" i="28" s="1"/>
  <c r="AJ13" i="28" s="1"/>
  <c r="AH8" i="28"/>
  <c r="AI8" i="28" s="1"/>
  <c r="AJ8" i="28" s="1"/>
  <c r="AM46" i="26"/>
  <c r="AN46" i="26"/>
  <c r="AO46" i="26" s="1"/>
  <c r="AP17" i="26"/>
  <c r="AQ17" i="26"/>
  <c r="AR17" i="26"/>
  <c r="AS17" i="26" s="1"/>
  <c r="AE7" i="27"/>
  <c r="AF7" i="27" s="1"/>
  <c r="AD7" i="27"/>
  <c r="AE12" i="28"/>
  <c r="AF12" i="28" s="1"/>
  <c r="AG12" i="28" s="1"/>
  <c r="AB6" i="28"/>
  <c r="AC6" i="28" s="1"/>
  <c r="AD6" i="28" s="1"/>
  <c r="AE7" i="28"/>
  <c r="AF7" i="28" s="1"/>
  <c r="AG7" i="28" s="1"/>
  <c r="AM4" i="26"/>
  <c r="AN4" i="26"/>
  <c r="AO4" i="26" s="1"/>
  <c r="AQ39" i="26"/>
  <c r="AR39" i="26" s="1"/>
  <c r="AS39" i="26" s="1"/>
  <c r="AP39" i="26"/>
  <c r="AH11" i="28"/>
  <c r="AI11" i="28" s="1"/>
  <c r="AJ11" i="28" s="1"/>
  <c r="AM11" i="26"/>
  <c r="AN11" i="26"/>
  <c r="AO11" i="26" s="1"/>
  <c r="AP10" i="26"/>
  <c r="AQ10" i="26" s="1"/>
  <c r="AR10" i="26" s="1"/>
  <c r="AS10" i="26" s="1"/>
  <c r="AM5" i="26"/>
  <c r="AN5" i="26"/>
  <c r="AO5" i="26" s="1"/>
  <c r="AL24" i="25"/>
  <c r="AK24" i="25"/>
  <c r="AP9" i="26"/>
  <c r="AQ9" i="26"/>
  <c r="AR9" i="26" s="1"/>
  <c r="AS9" i="26" s="1"/>
  <c r="AQ14" i="26"/>
  <c r="AR14" i="26" s="1"/>
  <c r="AS14" i="26" s="1"/>
  <c r="AP14" i="26"/>
  <c r="AQ16" i="26"/>
  <c r="AR16" i="26" s="1"/>
  <c r="AS16" i="26" s="1"/>
  <c r="AP16" i="26"/>
  <c r="AK26" i="25"/>
  <c r="AL26" i="25" s="1"/>
  <c r="AM34" i="26"/>
  <c r="AN34" i="26" s="1"/>
  <c r="AO34" i="26" s="1"/>
  <c r="AM18" i="26"/>
  <c r="AN18" i="26"/>
  <c r="AO18" i="26" s="1"/>
  <c r="AL28" i="25"/>
  <c r="AK28" i="25"/>
  <c r="AL30" i="25"/>
  <c r="AK30" i="25"/>
  <c r="AE10" i="28"/>
  <c r="AF10" i="28" s="1"/>
  <c r="AG10" i="28"/>
  <c r="AM29" i="26"/>
  <c r="AN29" i="26" s="1"/>
  <c r="AO29" i="26" s="1"/>
  <c r="AK38" i="25"/>
  <c r="AL38" i="25" s="1"/>
  <c r="AC5" i="27"/>
  <c r="AE5" i="28"/>
  <c r="AF5" i="28" s="1"/>
  <c r="AG5" i="28" s="1"/>
  <c r="AM27" i="26"/>
  <c r="AN27" i="26"/>
  <c r="AO27" i="26" s="1"/>
  <c r="AM7" i="26"/>
  <c r="AN7" i="26" s="1"/>
  <c r="AO7" i="26" s="1"/>
  <c r="AM53" i="26"/>
  <c r="AN53" i="26"/>
  <c r="AO53" i="26" s="1"/>
  <c r="AM37" i="26"/>
  <c r="AN37" i="26" s="1"/>
  <c r="AO37" i="26" s="1"/>
  <c r="AH14" i="28"/>
  <c r="AI14" i="28" s="1"/>
  <c r="AJ14" i="28" s="1"/>
  <c r="AE9" i="28"/>
  <c r="AF9" i="28" s="1"/>
  <c r="AG9" i="28"/>
  <c r="AM51" i="26"/>
  <c r="AN51" i="26" s="1"/>
  <c r="AO51" i="26" s="1"/>
  <c r="AM12" i="26"/>
  <c r="AN12" i="26"/>
  <c r="AO12" i="26"/>
  <c r="AK32" i="25"/>
  <c r="AL32" i="25" s="1"/>
  <c r="Z4" i="28"/>
  <c r="Y18" i="28"/>
  <c r="AK22" i="25"/>
  <c r="AL22" i="25" s="1"/>
  <c r="AP8" i="26"/>
  <c r="AQ8" i="26" s="1"/>
  <c r="AR8" i="26" s="1"/>
  <c r="AS8" i="26" s="1"/>
  <c r="AM50" i="26"/>
  <c r="AN50" i="26"/>
  <c r="AO50" i="26" s="1"/>
  <c r="AM55" i="26"/>
  <c r="AN55" i="26"/>
  <c r="AO55" i="26" s="1"/>
  <c r="AK36" i="25"/>
  <c r="AL36" i="25" s="1"/>
  <c r="AP41" i="26"/>
  <c r="AR41" i="26"/>
  <c r="AS41" i="26" s="1"/>
  <c r="AL42" i="25"/>
  <c r="AK42" i="25"/>
  <c r="AM22" i="26"/>
  <c r="AN22" i="26"/>
  <c r="AO22" i="26"/>
  <c r="AM57" i="26"/>
  <c r="AN57" i="26"/>
  <c r="AO57" i="26" s="1"/>
  <c r="AM15" i="26"/>
  <c r="AN15" i="26"/>
  <c r="AO15" i="26" s="1"/>
  <c r="AM21" i="26"/>
  <c r="AN21" i="26" s="1"/>
  <c r="AO21" i="26" s="1"/>
  <c r="AM35" i="26"/>
  <c r="AN35" i="26"/>
  <c r="AO35" i="26"/>
  <c r="AM52" i="26"/>
  <c r="AN52" i="26"/>
  <c r="AO52" i="26" s="1"/>
  <c r="AM49" i="26"/>
  <c r="AN49" i="26"/>
  <c r="AO49" i="26"/>
  <c r="AL34" i="25"/>
  <c r="AK34" i="25"/>
  <c r="AM23" i="26"/>
  <c r="AN23" i="26"/>
  <c r="AO23" i="26"/>
  <c r="AA6" i="27"/>
  <c r="Z12" i="27"/>
  <c r="AP6" i="26"/>
  <c r="AQ6" i="26"/>
  <c r="AR6" i="26" s="1"/>
  <c r="AS6" i="26" s="1"/>
  <c r="AM13" i="26"/>
  <c r="AN13" i="26"/>
  <c r="AO13" i="26"/>
  <c r="AM33" i="26"/>
  <c r="AN33" i="26" s="1"/>
  <c r="AO33" i="26" s="1"/>
  <c r="AM44" i="26"/>
  <c r="AN44" i="26"/>
  <c r="AO44" i="26" s="1"/>
  <c r="AM26" i="26"/>
  <c r="AN26" i="26"/>
  <c r="AO26" i="26" s="1"/>
  <c r="AM54" i="26"/>
  <c r="AN54" i="26"/>
  <c r="AO54" i="26" s="1"/>
  <c r="AL20" i="25"/>
  <c r="AK20" i="25"/>
  <c r="AJ40" i="25"/>
  <c r="X2" i="26"/>
  <c r="X66" i="26" s="1"/>
  <c r="AC18" i="25"/>
  <c r="AD18" i="25" s="1"/>
  <c r="AE18" i="25"/>
  <c r="AF37" i="25"/>
  <c r="AG37" i="25" s="1"/>
  <c r="AI37" i="25" s="1"/>
  <c r="AJ37" i="25" s="1"/>
  <c r="Z4" i="25"/>
  <c r="AA4" i="25" s="1"/>
  <c r="AB4" i="25" s="1"/>
  <c r="AF25" i="25"/>
  <c r="AG25" i="25" s="1"/>
  <c r="AI25" i="25" s="1"/>
  <c r="AJ25" i="25" s="1"/>
  <c r="AC16" i="25"/>
  <c r="AD16" i="25" s="1"/>
  <c r="AE16" i="25" s="1"/>
  <c r="AC12" i="25"/>
  <c r="AD12" i="25" s="1"/>
  <c r="AE12" i="25" s="1"/>
  <c r="AC14" i="25"/>
  <c r="AD14" i="25" s="1"/>
  <c r="AE14" i="25" s="1"/>
  <c r="AC8" i="25"/>
  <c r="AD8" i="25" s="1"/>
  <c r="AE8" i="25" s="1"/>
  <c r="AF43" i="25"/>
  <c r="AG43" i="25" s="1"/>
  <c r="AI43" i="25"/>
  <c r="AJ43" i="25" s="1"/>
  <c r="AF41" i="25"/>
  <c r="AG41" i="25" s="1"/>
  <c r="AI41" i="25" s="1"/>
  <c r="AJ41" i="25" s="1"/>
  <c r="AF39" i="25"/>
  <c r="AG39" i="25" s="1"/>
  <c r="AI39" i="25" s="1"/>
  <c r="AJ39" i="25" s="1"/>
  <c r="AF23" i="25"/>
  <c r="AG23" i="25" s="1"/>
  <c r="AI23" i="25" s="1"/>
  <c r="AJ23" i="25" s="1"/>
  <c r="AC7" i="25"/>
  <c r="AD7" i="25" s="1"/>
  <c r="AE7" i="25" s="1"/>
  <c r="AF21" i="25"/>
  <c r="AG21" i="25" s="1"/>
  <c r="AI21" i="25" s="1"/>
  <c r="AJ21" i="25" s="1"/>
  <c r="AF35" i="25"/>
  <c r="AG35" i="25" s="1"/>
  <c r="AI35" i="25"/>
  <c r="AJ35" i="25" s="1"/>
  <c r="AC19" i="25"/>
  <c r="AD19" i="25" s="1"/>
  <c r="AE19" i="25" s="1"/>
  <c r="AF31" i="25"/>
  <c r="AG31" i="25" s="1"/>
  <c r="AI31" i="25" s="1"/>
  <c r="AJ31" i="25" s="1"/>
  <c r="AF29" i="25"/>
  <c r="AG29" i="25" s="1"/>
  <c r="AI29" i="25"/>
  <c r="AJ29" i="25" s="1"/>
  <c r="AF33" i="25"/>
  <c r="AG33" i="25" s="1"/>
  <c r="AI33" i="25" s="1"/>
  <c r="AJ33" i="25" s="1"/>
  <c r="AF27" i="25"/>
  <c r="AG27" i="25" s="1"/>
  <c r="AI27" i="25" s="1"/>
  <c r="AJ27" i="25" s="1"/>
  <c r="AC15" i="25"/>
  <c r="AD15" i="25" s="1"/>
  <c r="AE15" i="25" s="1"/>
  <c r="AC11" i="25"/>
  <c r="AD11" i="25" s="1"/>
  <c r="AE11" i="25" s="1"/>
  <c r="AC13" i="25"/>
  <c r="AD13" i="25" s="1"/>
  <c r="AE13" i="25" s="1"/>
  <c r="AC9" i="25"/>
  <c r="AD9" i="25" s="1"/>
  <c r="AE9" i="25" s="1"/>
  <c r="AC17" i="25"/>
  <c r="AD17" i="25" s="1"/>
  <c r="AE17" i="25" s="1"/>
  <c r="X3" i="25"/>
  <c r="W46" i="25"/>
  <c r="AC5" i="25"/>
  <c r="AD5" i="25" s="1"/>
  <c r="AE5" i="25" s="1"/>
  <c r="Z2" i="25"/>
  <c r="AC6" i="25"/>
  <c r="AD6" i="25" s="1"/>
  <c r="AE6" i="25" s="1"/>
  <c r="AC10" i="25"/>
  <c r="AD10" i="25" s="1"/>
  <c r="AE10" i="25" s="1"/>
  <c r="AJ28" i="26"/>
  <c r="AK28" i="26"/>
  <c r="AL28" i="26" s="1"/>
  <c r="AJ24" i="26"/>
  <c r="AK24" i="26" s="1"/>
  <c r="AL24" i="26" s="1"/>
  <c r="AJ40" i="26"/>
  <c r="AK40" i="26" s="1"/>
  <c r="AL40" i="26" s="1"/>
  <c r="AJ42" i="26"/>
  <c r="AK42" i="26" s="1"/>
  <c r="AL42" i="26" s="1"/>
  <c r="AJ45" i="26"/>
  <c r="AK45" i="26"/>
  <c r="AL45" i="26" s="1"/>
  <c r="AJ56" i="26"/>
  <c r="AK56" i="26" s="1"/>
  <c r="AL56" i="26" s="1"/>
  <c r="AJ48" i="26"/>
  <c r="AK48" i="26"/>
  <c r="AL48" i="26" s="1"/>
  <c r="AJ32" i="26"/>
  <c r="AK32" i="26" s="1"/>
  <c r="AL32" i="26" s="1"/>
  <c r="AJ30" i="26"/>
  <c r="AK30" i="26"/>
  <c r="AL30" i="26" s="1"/>
  <c r="AJ31" i="26"/>
  <c r="AK31" i="26" s="1"/>
  <c r="AL31" i="26" s="1"/>
  <c r="AJ20" i="26"/>
  <c r="AK20" i="26" s="1"/>
  <c r="AL20" i="26" s="1"/>
  <c r="AJ43" i="26"/>
  <c r="AK43" i="26" s="1"/>
  <c r="AL43" i="26" s="1"/>
  <c r="AG36" i="26"/>
  <c r="AH36" i="26"/>
  <c r="AI36" i="26" s="1"/>
  <c r="AG25" i="26"/>
  <c r="AH25" i="26" s="1"/>
  <c r="AI25" i="26" s="1"/>
  <c r="AG38" i="26"/>
  <c r="AH38" i="26" s="1"/>
  <c r="AI38" i="26" s="1"/>
  <c r="AB3" i="26"/>
  <c r="AG19" i="26"/>
  <c r="AH19" i="26" s="1"/>
  <c r="AI19" i="26" s="1"/>
  <c r="AG47" i="26"/>
  <c r="AH47" i="26" s="1"/>
  <c r="AI47" i="26" s="1"/>
  <c r="AH58" i="26"/>
  <c r="AI58" i="26" s="1"/>
  <c r="AG58" i="26"/>
  <c r="AP52" i="26" l="1"/>
  <c r="AQ52" i="26" s="1"/>
  <c r="AR52" i="26" s="1"/>
  <c r="AS52" i="26" s="1"/>
  <c r="AH7" i="28"/>
  <c r="AI7" i="28" s="1"/>
  <c r="AJ7" i="28" s="1"/>
  <c r="AP7" i="26"/>
  <c r="AQ7" i="26"/>
  <c r="AR7" i="26" s="1"/>
  <c r="AS7" i="26" s="1"/>
  <c r="AE6" i="28"/>
  <c r="AF6" i="28" s="1"/>
  <c r="AG6" i="28" s="1"/>
  <c r="AM32" i="25"/>
  <c r="AO32" i="25"/>
  <c r="AP32" i="25" s="1"/>
  <c r="AR27" i="26"/>
  <c r="AS27" i="26" s="1"/>
  <c r="AP27" i="26"/>
  <c r="AQ27" i="26"/>
  <c r="AP18" i="26"/>
  <c r="AQ18" i="26" s="1"/>
  <c r="AR18" i="26" s="1"/>
  <c r="AS18" i="26" s="1"/>
  <c r="AP5" i="26"/>
  <c r="AQ5" i="26"/>
  <c r="AR5" i="26" s="1"/>
  <c r="AS5" i="26" s="1"/>
  <c r="AH12" i="28"/>
  <c r="AI12" i="28" s="1"/>
  <c r="AJ12" i="28" s="1"/>
  <c r="AP34" i="26"/>
  <c r="AQ34" i="26"/>
  <c r="AR34" i="26" s="1"/>
  <c r="AS34" i="26" s="1"/>
  <c r="AG7" i="27"/>
  <c r="AH7" i="27" s="1"/>
  <c r="AI7" i="27" s="1"/>
  <c r="AJ7" i="27"/>
  <c r="AK25" i="25"/>
  <c r="AL25" i="25" s="1"/>
  <c r="AP21" i="26"/>
  <c r="AQ21" i="26" s="1"/>
  <c r="AR21" i="26" s="1"/>
  <c r="AS21" i="26" s="1"/>
  <c r="AM36" i="25"/>
  <c r="AO36" i="25"/>
  <c r="AP36" i="25" s="1"/>
  <c r="AM26" i="25"/>
  <c r="AO26" i="25" s="1"/>
  <c r="AP26" i="25" s="1"/>
  <c r="AP11" i="26"/>
  <c r="AQ11" i="26" s="1"/>
  <c r="AR11" i="26" s="1"/>
  <c r="AS11" i="26" s="1"/>
  <c r="AP51" i="26"/>
  <c r="AQ51" i="26" s="1"/>
  <c r="AR51" i="26" s="1"/>
  <c r="AS51" i="26" s="1"/>
  <c r="AM38" i="25"/>
  <c r="AN38" i="25" s="1"/>
  <c r="AO38" i="25" s="1"/>
  <c r="AP38" i="25" s="1"/>
  <c r="AP29" i="26"/>
  <c r="AQ29" i="26"/>
  <c r="AR29" i="26"/>
  <c r="AS29" i="26" s="1"/>
  <c r="AK11" i="28"/>
  <c r="AL11" i="28" s="1"/>
  <c r="AM11" i="28" s="1"/>
  <c r="AJ5" i="28"/>
  <c r="AH5" i="28"/>
  <c r="AI5" i="28" s="1"/>
  <c r="AQ44" i="26"/>
  <c r="AR44" i="26" s="1"/>
  <c r="AS44" i="26" s="1"/>
  <c r="AP44" i="26"/>
  <c r="AP57" i="26"/>
  <c r="AQ57" i="26"/>
  <c r="AR57" i="26" s="1"/>
  <c r="AS57" i="26" s="1"/>
  <c r="AP50" i="26"/>
  <c r="AQ50" i="26"/>
  <c r="AR50" i="26" s="1"/>
  <c r="AS50" i="26" s="1"/>
  <c r="AQ46" i="26"/>
  <c r="AR46" i="26" s="1"/>
  <c r="AS46" i="26" s="1"/>
  <c r="AP46" i="26"/>
  <c r="AP55" i="26"/>
  <c r="AQ55" i="26" s="1"/>
  <c r="AR55" i="26" s="1"/>
  <c r="AS55" i="26" s="1"/>
  <c r="AP33" i="26"/>
  <c r="AQ33" i="26" s="1"/>
  <c r="AR33" i="26" s="1"/>
  <c r="AS33" i="26" s="1"/>
  <c r="AK14" i="28"/>
  <c r="AL14" i="28" s="1"/>
  <c r="AM14" i="28" s="1"/>
  <c r="AM40" i="26"/>
  <c r="AN40" i="26"/>
  <c r="AO40" i="26" s="1"/>
  <c r="AP37" i="26"/>
  <c r="AQ37" i="26" s="1"/>
  <c r="AR37" i="26" s="1"/>
  <c r="AS37" i="26" s="1"/>
  <c r="AP4" i="26"/>
  <c r="AQ4" i="26" s="1"/>
  <c r="AR4" i="26" s="1"/>
  <c r="AS4" i="26" s="1"/>
  <c r="AM8" i="28"/>
  <c r="AN8" i="28" s="1"/>
  <c r="AO8" i="28" s="1"/>
  <c r="AP8" i="28" s="1"/>
  <c r="AQ8" i="28" s="1"/>
  <c r="AK8" i="28"/>
  <c r="AL8" i="28" s="1"/>
  <c r="AP54" i="26"/>
  <c r="AQ54" i="26" s="1"/>
  <c r="AR54" i="26" s="1"/>
  <c r="AS54" i="26" s="1"/>
  <c r="AP26" i="26"/>
  <c r="AQ26" i="26"/>
  <c r="AR26" i="26" s="1"/>
  <c r="AS26" i="26" s="1"/>
  <c r="AP15" i="26"/>
  <c r="AQ15" i="26" s="1"/>
  <c r="AR15" i="26" s="1"/>
  <c r="AS15" i="26" s="1"/>
  <c r="AM20" i="26"/>
  <c r="AN20" i="26"/>
  <c r="AO20" i="26" s="1"/>
  <c r="AM22" i="25"/>
  <c r="AO22" i="25" s="1"/>
  <c r="AP22" i="25" s="1"/>
  <c r="AQ53" i="26"/>
  <c r="AR53" i="26" s="1"/>
  <c r="AS53" i="26" s="1"/>
  <c r="AP53" i="26"/>
  <c r="AK13" i="28"/>
  <c r="AL13" i="28" s="1"/>
  <c r="AM13" i="28"/>
  <c r="AM34" i="25"/>
  <c r="AO34" i="25"/>
  <c r="AP34" i="25" s="1"/>
  <c r="AM56" i="26"/>
  <c r="AN56" i="26"/>
  <c r="AO56" i="26" s="1"/>
  <c r="AL31" i="25"/>
  <c r="AK31" i="25"/>
  <c r="AM42" i="25"/>
  <c r="AO42" i="25" s="1"/>
  <c r="AP42" i="25" s="1"/>
  <c r="AM24" i="25"/>
  <c r="AN24" i="25" s="1"/>
  <c r="AO24" i="25"/>
  <c r="AP24" i="25" s="1"/>
  <c r="AH9" i="28"/>
  <c r="AI9" i="28" s="1"/>
  <c r="AJ9" i="28" s="1"/>
  <c r="AQ13" i="26"/>
  <c r="AR13" i="26" s="1"/>
  <c r="AS13" i="26" s="1"/>
  <c r="AP13" i="26"/>
  <c r="AQ49" i="26"/>
  <c r="AR49" i="26" s="1"/>
  <c r="AS49" i="26" s="1"/>
  <c r="AP49" i="26"/>
  <c r="AJ10" i="28"/>
  <c r="AH10" i="28"/>
  <c r="AI10" i="28" s="1"/>
  <c r="AM42" i="26"/>
  <c r="AN42" i="26"/>
  <c r="AO42" i="26" s="1"/>
  <c r="AK21" i="25"/>
  <c r="AL21" i="25" s="1"/>
  <c r="AA4" i="28"/>
  <c r="Z18" i="28"/>
  <c r="AM45" i="26"/>
  <c r="AN45" i="26" s="1"/>
  <c r="AO45" i="26" s="1"/>
  <c r="AM30" i="25"/>
  <c r="AO30" i="25" s="1"/>
  <c r="AP30" i="25" s="1"/>
  <c r="AM31" i="26"/>
  <c r="AN31" i="26"/>
  <c r="AO31" i="26" s="1"/>
  <c r="AM24" i="26"/>
  <c r="AN24" i="26"/>
  <c r="AO24" i="26" s="1"/>
  <c r="AK23" i="25"/>
  <c r="AL23" i="25" s="1"/>
  <c r="AM28" i="26"/>
  <c r="AN28" i="26"/>
  <c r="AO28" i="26" s="1"/>
  <c r="AL39" i="25"/>
  <c r="AK39" i="25"/>
  <c r="AK37" i="25"/>
  <c r="AL37" i="25" s="1"/>
  <c r="AP12" i="26"/>
  <c r="AQ12" i="26" s="1"/>
  <c r="AR12" i="26" s="1"/>
  <c r="AS12" i="26" s="1"/>
  <c r="AM28" i="25"/>
  <c r="AN28" i="25" s="1"/>
  <c r="AO28" i="25" s="1"/>
  <c r="AP28" i="25" s="1"/>
  <c r="AM20" i="25"/>
  <c r="AO20" i="25" s="1"/>
  <c r="AP20" i="25" s="1"/>
  <c r="AK27" i="25"/>
  <c r="AL27" i="25" s="1"/>
  <c r="AL41" i="25"/>
  <c r="AK41" i="25"/>
  <c r="AB6" i="27"/>
  <c r="AA12" i="27"/>
  <c r="AP35" i="26"/>
  <c r="AQ35" i="26" s="1"/>
  <c r="AR35" i="26" s="1"/>
  <c r="AS35" i="26" s="1"/>
  <c r="AP22" i="26"/>
  <c r="AQ22" i="26" s="1"/>
  <c r="AR22" i="26" s="1"/>
  <c r="AS22" i="26" s="1"/>
  <c r="AD5" i="27"/>
  <c r="AM32" i="26"/>
  <c r="AN32" i="26"/>
  <c r="AO32" i="26" s="1"/>
  <c r="AL33" i="25"/>
  <c r="AK33" i="25"/>
  <c r="AL43" i="25"/>
  <c r="AK43" i="25"/>
  <c r="AP23" i="26"/>
  <c r="AQ23" i="26" s="1"/>
  <c r="AR23" i="26" s="1"/>
  <c r="AS23" i="26" s="1"/>
  <c r="AK35" i="25"/>
  <c r="AL35" i="25" s="1"/>
  <c r="AM30" i="26"/>
  <c r="AN30" i="26"/>
  <c r="AO30" i="26" s="1"/>
  <c r="AM48" i="26"/>
  <c r="AN48" i="26" s="1"/>
  <c r="AO48" i="26" s="1"/>
  <c r="AL29" i="25"/>
  <c r="AK29" i="25"/>
  <c r="AM43" i="26"/>
  <c r="AN43" i="26" s="1"/>
  <c r="AO43" i="26" s="1"/>
  <c r="AL40" i="25"/>
  <c r="AK40" i="25"/>
  <c r="AF18" i="25"/>
  <c r="AG18" i="25" s="1"/>
  <c r="AI18" i="25"/>
  <c r="AF16" i="25"/>
  <c r="AG16" i="25" s="1"/>
  <c r="AI16" i="25" s="1"/>
  <c r="Y2" i="26"/>
  <c r="Y66" i="26" s="1"/>
  <c r="AF10" i="25"/>
  <c r="AG10" i="25" s="1"/>
  <c r="AI10" i="25" s="1"/>
  <c r="AJ10" i="25" s="1"/>
  <c r="AF12" i="25"/>
  <c r="AG12" i="25" s="1"/>
  <c r="AI12" i="25" s="1"/>
  <c r="AJ12" i="25" s="1"/>
  <c r="AC4" i="25"/>
  <c r="AD4" i="25" s="1"/>
  <c r="AE4" i="25" s="1"/>
  <c r="AF5" i="25"/>
  <c r="AG5" i="25" s="1"/>
  <c r="AI5" i="25" s="1"/>
  <c r="AJ5" i="25" s="1"/>
  <c r="AF9" i="25"/>
  <c r="AG9" i="25" s="1"/>
  <c r="AI9" i="25" s="1"/>
  <c r="AJ9" i="25" s="1"/>
  <c r="AF13" i="25"/>
  <c r="AG13" i="25" s="1"/>
  <c r="AI13" i="25" s="1"/>
  <c r="AJ13" i="25" s="1"/>
  <c r="AF17" i="25"/>
  <c r="AG17" i="25" s="1"/>
  <c r="AI17" i="25" s="1"/>
  <c r="AF15" i="25"/>
  <c r="AG15" i="25" s="1"/>
  <c r="AI15" i="25" s="1"/>
  <c r="AJ15" i="25" s="1"/>
  <c r="AI7" i="25"/>
  <c r="AJ7" i="25" s="1"/>
  <c r="AF7" i="25"/>
  <c r="AG7" i="25" s="1"/>
  <c r="AF6" i="25"/>
  <c r="AG6" i="25" s="1"/>
  <c r="AI6" i="25" s="1"/>
  <c r="AJ6" i="25" s="1"/>
  <c r="AF11" i="25"/>
  <c r="AG11" i="25" s="1"/>
  <c r="AI11" i="25" s="1"/>
  <c r="AJ11" i="25" s="1"/>
  <c r="AF19" i="25"/>
  <c r="AG19" i="25" s="1"/>
  <c r="AI19" i="25" s="1"/>
  <c r="AJ19" i="25" s="1"/>
  <c r="AF8" i="25"/>
  <c r="AG8" i="25" s="1"/>
  <c r="AI8" i="25" s="1"/>
  <c r="AJ8" i="25" s="1"/>
  <c r="AA2" i="25"/>
  <c r="AF14" i="25"/>
  <c r="AG14" i="25" s="1"/>
  <c r="AI14" i="25" s="1"/>
  <c r="AJ14" i="25" s="1"/>
  <c r="X46" i="25"/>
  <c r="Y3" i="25"/>
  <c r="AJ38" i="26"/>
  <c r="AK38" i="26" s="1"/>
  <c r="AL38" i="26" s="1"/>
  <c r="AJ19" i="26"/>
  <c r="AK19" i="26" s="1"/>
  <c r="AL19" i="26" s="1"/>
  <c r="AJ36" i="26"/>
  <c r="AK36" i="26" s="1"/>
  <c r="AL36" i="26" s="1"/>
  <c r="AJ47" i="26"/>
  <c r="AK47" i="26" s="1"/>
  <c r="AL47" i="26" s="1"/>
  <c r="AJ25" i="26"/>
  <c r="AK25" i="26" s="1"/>
  <c r="AL25" i="26" s="1"/>
  <c r="AJ58" i="26"/>
  <c r="AK58" i="26"/>
  <c r="AL58" i="26" s="1"/>
  <c r="AC3" i="26"/>
  <c r="AK15" i="25" l="1"/>
  <c r="AL15" i="25" s="1"/>
  <c r="AP43" i="26"/>
  <c r="AQ43" i="26"/>
  <c r="AR43" i="26" s="1"/>
  <c r="AS43" i="26" s="1"/>
  <c r="AM37" i="25"/>
  <c r="AO37" i="25" s="1"/>
  <c r="AP37" i="25" s="1"/>
  <c r="AP40" i="26"/>
  <c r="AQ40" i="26" s="1"/>
  <c r="AR40" i="26" s="1"/>
  <c r="AS40" i="26" s="1"/>
  <c r="AM21" i="25"/>
  <c r="AO21" i="25" s="1"/>
  <c r="AP21" i="25" s="1"/>
  <c r="AQ20" i="26"/>
  <c r="AR20" i="26" s="1"/>
  <c r="AS20" i="26" s="1"/>
  <c r="AP20" i="26"/>
  <c r="AN14" i="28"/>
  <c r="AO14" i="28" s="1"/>
  <c r="AP14" i="28" s="1"/>
  <c r="AQ14" i="28" s="1"/>
  <c r="AM25" i="25"/>
  <c r="AO25" i="25" s="1"/>
  <c r="AP25" i="25" s="1"/>
  <c r="AQ28" i="26"/>
  <c r="AR28" i="26" s="1"/>
  <c r="AS28" i="26" s="1"/>
  <c r="AP28" i="26"/>
  <c r="AP42" i="26"/>
  <c r="AQ42" i="26"/>
  <c r="AR42" i="26" s="1"/>
  <c r="AS42" i="26" s="1"/>
  <c r="AP11" i="28"/>
  <c r="AQ11" i="28" s="1"/>
  <c r="AN11" i="28"/>
  <c r="AH6" i="28"/>
  <c r="AI6" i="28" s="1"/>
  <c r="AJ6" i="28" s="1"/>
  <c r="AP45" i="26"/>
  <c r="AQ45" i="26" s="1"/>
  <c r="AR45" i="26" s="1"/>
  <c r="AS45" i="26" s="1"/>
  <c r="AM23" i="25"/>
  <c r="AO23" i="25"/>
  <c r="AP23" i="25" s="1"/>
  <c r="AP56" i="26"/>
  <c r="AQ56" i="26"/>
  <c r="AR56" i="26" s="1"/>
  <c r="AS56" i="26" s="1"/>
  <c r="AK9" i="28"/>
  <c r="AL9" i="28" s="1"/>
  <c r="AM9" i="28" s="1"/>
  <c r="AM35" i="25"/>
  <c r="AO35" i="25"/>
  <c r="AP35" i="25" s="1"/>
  <c r="AQ24" i="26"/>
  <c r="AR24" i="26" s="1"/>
  <c r="AS24" i="26" s="1"/>
  <c r="AP24" i="26"/>
  <c r="AQ48" i="26"/>
  <c r="AR48" i="26" s="1"/>
  <c r="AS48" i="26" s="1"/>
  <c r="AP48" i="26"/>
  <c r="AK12" i="28"/>
  <c r="AL12" i="28" s="1"/>
  <c r="AM12" i="28" s="1"/>
  <c r="AK7" i="28"/>
  <c r="AL7" i="28" s="1"/>
  <c r="AM7" i="28" s="1"/>
  <c r="AQ32" i="26"/>
  <c r="AR32" i="26" s="1"/>
  <c r="AS32" i="26" s="1"/>
  <c r="AP32" i="26"/>
  <c r="AP30" i="26"/>
  <c r="AQ30" i="26" s="1"/>
  <c r="AR30" i="26" s="1"/>
  <c r="AS30" i="26" s="1"/>
  <c r="AM27" i="25"/>
  <c r="AO27" i="25" s="1"/>
  <c r="AP27" i="25" s="1"/>
  <c r="AP31" i="26"/>
  <c r="AQ31" i="26" s="1"/>
  <c r="AR31" i="26" s="1"/>
  <c r="AS31" i="26" s="1"/>
  <c r="AK11" i="25"/>
  <c r="AL11" i="25" s="1"/>
  <c r="AK10" i="25"/>
  <c r="AL10" i="25" s="1"/>
  <c r="AM29" i="25"/>
  <c r="AO29" i="25"/>
  <c r="AP29" i="25" s="1"/>
  <c r="AA18" i="28"/>
  <c r="AB4" i="28"/>
  <c r="AK5" i="28"/>
  <c r="AL5" i="28" s="1"/>
  <c r="AM5" i="28" s="1"/>
  <c r="AK6" i="25"/>
  <c r="AL6" i="25" s="1"/>
  <c r="AM47" i="26"/>
  <c r="AN47" i="26"/>
  <c r="AO47" i="26"/>
  <c r="AM36" i="26"/>
  <c r="AN36" i="26"/>
  <c r="AO36" i="26" s="1"/>
  <c r="AP13" i="28"/>
  <c r="AQ13" i="28" s="1"/>
  <c r="AN13" i="28"/>
  <c r="AM25" i="26"/>
  <c r="AN25" i="26" s="1"/>
  <c r="AO25" i="26" s="1"/>
  <c r="AM43" i="25"/>
  <c r="AO43" i="25"/>
  <c r="AP43" i="25" s="1"/>
  <c r="AL18" i="25"/>
  <c r="AM38" i="26"/>
  <c r="AN38" i="26"/>
  <c r="AO38" i="26" s="1"/>
  <c r="AM41" i="25"/>
  <c r="AO41" i="25" s="1"/>
  <c r="AP41" i="25" s="1"/>
  <c r="AM39" i="25"/>
  <c r="AO39" i="25" s="1"/>
  <c r="AP39" i="25" s="1"/>
  <c r="AK8" i="25"/>
  <c r="AL8" i="25" s="1"/>
  <c r="AK7" i="25"/>
  <c r="AL7" i="25" s="1"/>
  <c r="AM33" i="25"/>
  <c r="AO33" i="25" s="1"/>
  <c r="AP33" i="25" s="1"/>
  <c r="AM10" i="28"/>
  <c r="AN10" i="28" s="1"/>
  <c r="AO10" i="28" s="1"/>
  <c r="AP10" i="28" s="1"/>
  <c r="AQ10" i="28" s="1"/>
  <c r="AK10" i="28"/>
  <c r="AL10" i="28" s="1"/>
  <c r="AL13" i="25"/>
  <c r="AK13" i="25"/>
  <c r="AM40" i="25"/>
  <c r="AO40" i="25" s="1"/>
  <c r="AP40" i="25" s="1"/>
  <c r="AK14" i="25"/>
  <c r="AL14" i="25" s="1"/>
  <c r="AK9" i="25"/>
  <c r="AL9" i="25" s="1"/>
  <c r="AE5" i="27"/>
  <c r="AM19" i="26"/>
  <c r="AN19" i="26" s="1"/>
  <c r="AO19" i="26" s="1"/>
  <c r="AC6" i="27"/>
  <c r="AB12" i="27"/>
  <c r="AK5" i="25"/>
  <c r="AL5" i="25" s="1"/>
  <c r="AM31" i="25"/>
  <c r="AO31" i="25"/>
  <c r="AP31" i="25" s="1"/>
  <c r="AM58" i="26"/>
  <c r="AN58" i="26"/>
  <c r="AO58" i="26" s="1"/>
  <c r="AL19" i="25"/>
  <c r="AK19" i="25"/>
  <c r="AL12" i="25"/>
  <c r="AK12" i="25"/>
  <c r="AJ18" i="25"/>
  <c r="AK18" i="25" s="1"/>
  <c r="AJ17" i="25"/>
  <c r="AK17" i="25" s="1"/>
  <c r="AL17" i="25" s="1"/>
  <c r="AJ16" i="25"/>
  <c r="AK16" i="25" s="1"/>
  <c r="AL16" i="25" s="1"/>
  <c r="Z2" i="26"/>
  <c r="Z66" i="26" s="1"/>
  <c r="AB2" i="25"/>
  <c r="Z3" i="25"/>
  <c r="Y46" i="25"/>
  <c r="AF4" i="25"/>
  <c r="AG4" i="25" s="1"/>
  <c r="AI4" i="25" s="1"/>
  <c r="AJ4" i="25" s="1"/>
  <c r="AD3" i="26"/>
  <c r="AN9" i="28" l="1"/>
  <c r="AO9" i="28" s="1"/>
  <c r="AP9" i="28" s="1"/>
  <c r="AQ9" i="28" s="1"/>
  <c r="AM6" i="25"/>
  <c r="AN6" i="25" s="1"/>
  <c r="AO6" i="25" s="1"/>
  <c r="AP6" i="25" s="1"/>
  <c r="AM17" i="25"/>
  <c r="AN17" i="25" s="1"/>
  <c r="AO17" i="25" s="1"/>
  <c r="AP17" i="25" s="1"/>
  <c r="AN7" i="28"/>
  <c r="AO7" i="28" s="1"/>
  <c r="AP7" i="28" s="1"/>
  <c r="AQ7" i="28" s="1"/>
  <c r="AM8" i="25"/>
  <c r="AN8" i="25" s="1"/>
  <c r="AO8" i="25"/>
  <c r="AP8" i="25" s="1"/>
  <c r="AQ38" i="26"/>
  <c r="AR38" i="26" s="1"/>
  <c r="AS38" i="26" s="1"/>
  <c r="AP38" i="26"/>
  <c r="AM9" i="25"/>
  <c r="AN9" i="25" s="1"/>
  <c r="AO9" i="25" s="1"/>
  <c r="AP9" i="25" s="1"/>
  <c r="AK4" i="25"/>
  <c r="AL4" i="25" s="1"/>
  <c r="AQ25" i="26"/>
  <c r="AP25" i="26"/>
  <c r="AR25" i="26"/>
  <c r="AS25" i="26" s="1"/>
  <c r="AN5" i="28"/>
  <c r="AO5" i="28" s="1"/>
  <c r="AP5" i="28" s="1"/>
  <c r="AQ5" i="28" s="1"/>
  <c r="AN12" i="28"/>
  <c r="AP12" i="28" s="1"/>
  <c r="AQ12" i="28" s="1"/>
  <c r="AM14" i="25"/>
  <c r="AN14" i="25" s="1"/>
  <c r="AO14" i="25" s="1"/>
  <c r="AP14" i="25" s="1"/>
  <c r="AP58" i="26"/>
  <c r="AQ58" i="26"/>
  <c r="AR58" i="26" s="1"/>
  <c r="AS58" i="26" s="1"/>
  <c r="AK6" i="28"/>
  <c r="AL6" i="28" s="1"/>
  <c r="AM6" i="28" s="1"/>
  <c r="AN6" i="28" s="1"/>
  <c r="AO6" i="28" s="1"/>
  <c r="AP6" i="28" s="1"/>
  <c r="AQ6" i="28" s="1"/>
  <c r="AM5" i="25"/>
  <c r="AN5" i="25" s="1"/>
  <c r="AO5" i="25"/>
  <c r="AP5" i="25" s="1"/>
  <c r="AM10" i="25"/>
  <c r="AN10" i="25" s="1"/>
  <c r="AO10" i="25" s="1"/>
  <c r="AP10" i="25" s="1"/>
  <c r="AP19" i="26"/>
  <c r="AQ19" i="26"/>
  <c r="AR19" i="26" s="1"/>
  <c r="AS19" i="26" s="1"/>
  <c r="AM16" i="25"/>
  <c r="AN16" i="25" s="1"/>
  <c r="AO16" i="25" s="1"/>
  <c r="AP16" i="25" s="1"/>
  <c r="AM7" i="25"/>
  <c r="AN7" i="25" s="1"/>
  <c r="AO7" i="25"/>
  <c r="AP7" i="25" s="1"/>
  <c r="AQ36" i="26"/>
  <c r="AR36" i="26" s="1"/>
  <c r="AS36" i="26" s="1"/>
  <c r="AP36" i="26"/>
  <c r="AM11" i="25"/>
  <c r="AN11" i="25" s="1"/>
  <c r="AO11" i="25" s="1"/>
  <c r="AP11" i="25" s="1"/>
  <c r="AM15" i="25"/>
  <c r="AN15" i="25" s="1"/>
  <c r="AO15" i="25" s="1"/>
  <c r="AP15" i="25" s="1"/>
  <c r="AM18" i="25"/>
  <c r="AO18" i="25" s="1"/>
  <c r="AP18" i="25" s="1"/>
  <c r="AD6" i="27"/>
  <c r="AC12" i="27"/>
  <c r="AF5" i="27"/>
  <c r="AM13" i="25"/>
  <c r="AN13" i="25" s="1"/>
  <c r="AO13" i="25"/>
  <c r="AP13" i="25" s="1"/>
  <c r="AB18" i="28"/>
  <c r="AC4" i="28"/>
  <c r="AM19" i="25"/>
  <c r="AO19" i="25" s="1"/>
  <c r="AP19" i="25" s="1"/>
  <c r="AQ47" i="26"/>
  <c r="AR47" i="26" s="1"/>
  <c r="AS47" i="26" s="1"/>
  <c r="AP47" i="26"/>
  <c r="AM12" i="25"/>
  <c r="AN12" i="25" s="1"/>
  <c r="AO12" i="25"/>
  <c r="AP12" i="25" s="1"/>
  <c r="AB2" i="26"/>
  <c r="AB66" i="26" s="1"/>
  <c r="AA2" i="26"/>
  <c r="AA66" i="26" s="1"/>
  <c r="AA3" i="25"/>
  <c r="Z46" i="25"/>
  <c r="AC2" i="25"/>
  <c r="AE3" i="26"/>
  <c r="AF3" i="26" s="1"/>
  <c r="AM4" i="25" l="1"/>
  <c r="AN4" i="25" s="1"/>
  <c r="AO4" i="25"/>
  <c r="AP4" i="25" s="1"/>
  <c r="AC18" i="28"/>
  <c r="AD4" i="28"/>
  <c r="AE6" i="27"/>
  <c r="AD12" i="27"/>
  <c r="AG5" i="27"/>
  <c r="AJ5" i="27"/>
  <c r="AC2" i="26"/>
  <c r="AC66" i="26" s="1"/>
  <c r="AD2" i="25"/>
  <c r="AA46" i="25"/>
  <c r="AB3" i="25"/>
  <c r="AG3" i="26"/>
  <c r="AH5" i="27" l="1"/>
  <c r="AF6" i="27"/>
  <c r="AE12" i="27"/>
  <c r="AE4" i="28"/>
  <c r="AD18" i="28"/>
  <c r="AD2" i="26"/>
  <c r="AD66" i="26" s="1"/>
  <c r="AE2" i="25"/>
  <c r="AC3" i="25"/>
  <c r="AB46" i="25"/>
  <c r="AH3" i="26"/>
  <c r="AF4" i="28" l="1"/>
  <c r="AE18" i="28"/>
  <c r="AG6" i="27"/>
  <c r="AJ6" i="27"/>
  <c r="AJ12" i="27" s="1"/>
  <c r="AF12" i="27"/>
  <c r="AI5" i="27"/>
  <c r="AE2" i="26"/>
  <c r="AE66" i="26" s="1"/>
  <c r="AF2" i="25"/>
  <c r="AD3" i="25"/>
  <c r="AC46" i="25"/>
  <c r="AI3" i="26"/>
  <c r="AH6" i="27" l="1"/>
  <c r="AG12" i="27"/>
  <c r="AF18" i="28"/>
  <c r="AG4" i="28"/>
  <c r="AF2" i="26"/>
  <c r="AF66" i="26" s="1"/>
  <c r="AE3" i="25"/>
  <c r="AD46" i="25"/>
  <c r="AG2" i="25"/>
  <c r="AK3" i="26"/>
  <c r="AJ3" i="26"/>
  <c r="AH4" i="28" l="1"/>
  <c r="AI4" i="28" s="1"/>
  <c r="AG18" i="28"/>
  <c r="AI6" i="27"/>
  <c r="AI12" i="27" s="1"/>
  <c r="AH12" i="27"/>
  <c r="AH2" i="26"/>
  <c r="AH66" i="26" s="1"/>
  <c r="AG2" i="26"/>
  <c r="AG66" i="26" s="1"/>
  <c r="AF3" i="25"/>
  <c r="AE46" i="25"/>
  <c r="AI2" i="25"/>
  <c r="AL3" i="26"/>
  <c r="AI2" i="26" l="1"/>
  <c r="AI66" i="26" s="1"/>
  <c r="AJ4" i="28"/>
  <c r="AI18" i="28"/>
  <c r="AH18" i="28"/>
  <c r="AJ2" i="26"/>
  <c r="AJ66" i="26" s="1"/>
  <c r="AJ2" i="25"/>
  <c r="AK2" i="25" s="1"/>
  <c r="AG3" i="25"/>
  <c r="AF46" i="25"/>
  <c r="AM3" i="26"/>
  <c r="AN3" i="26" s="1"/>
  <c r="AO3" i="26" s="1"/>
  <c r="AP3" i="26" l="1"/>
  <c r="AQ3" i="26"/>
  <c r="AR3" i="26" s="1"/>
  <c r="AS3" i="26" s="1"/>
  <c r="AJ18" i="28"/>
  <c r="AK4" i="28"/>
  <c r="AK2" i="26"/>
  <c r="AG46" i="25"/>
  <c r="AI3" i="25"/>
  <c r="AK18" i="28" l="1"/>
  <c r="AL4" i="28"/>
  <c r="AK66" i="26"/>
  <c r="AL2" i="26"/>
  <c r="AJ3" i="25"/>
  <c r="AK3" i="25" s="1"/>
  <c r="AI46" i="25"/>
  <c r="AL66" i="26" l="1"/>
  <c r="AL18" i="28"/>
  <c r="AM4" i="28"/>
  <c r="AJ46" i="25"/>
  <c r="AM2" i="26"/>
  <c r="AM66" i="26" s="1"/>
  <c r="AN4" i="28" l="1"/>
  <c r="AM18" i="28"/>
  <c r="AN2" i="26"/>
  <c r="AL3" i="25"/>
  <c r="AK46" i="25"/>
  <c r="AL2" i="25"/>
  <c r="AM2" i="25"/>
  <c r="AN2" i="25" l="1"/>
  <c r="AM3" i="25"/>
  <c r="AN3" i="25" s="1"/>
  <c r="AO3" i="25"/>
  <c r="AP3" i="25" s="1"/>
  <c r="AN66" i="26"/>
  <c r="AO2" i="26"/>
  <c r="AO4" i="28"/>
  <c r="AN18" i="28"/>
  <c r="AL46" i="25"/>
  <c r="AO2" i="25"/>
  <c r="AO46" i="25" s="1"/>
  <c r="AP2" i="25" l="1"/>
  <c r="AP46" i="25" s="1"/>
  <c r="AP2" i="26"/>
  <c r="AP66" i="26" s="1"/>
  <c r="AQ2" i="26"/>
  <c r="AQ66" i="26" s="1"/>
  <c r="AO66" i="26"/>
  <c r="AN46" i="25"/>
  <c r="AO18" i="28"/>
  <c r="AP4" i="28"/>
  <c r="AM46" i="25"/>
  <c r="AR2" i="26" l="1"/>
  <c r="AQ4" i="28"/>
  <c r="AQ18" i="28" s="1"/>
  <c r="AP18" i="28"/>
  <c r="AS2" i="26" l="1"/>
  <c r="AS66" i="26" s="1"/>
  <c r="AR6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Arantxa Villar</author>
  </authors>
  <commentList>
    <comment ref="B20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Sklum fra 16874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Sklum fra 16874</t>
        </r>
      </text>
    </comment>
    <comment ref="B22" authorId="0" shapeId="0" xr:uid="{00000000-0006-0000-0000-000003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45</t>
        </r>
      </text>
    </comment>
    <comment ref="B23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45</t>
        </r>
      </text>
    </comment>
    <comment ref="B24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45</t>
        </r>
      </text>
    </comment>
    <comment ref="B25" authorId="0" shapeId="0" xr:uid="{00000000-0006-0000-0000-000006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34</t>
        </r>
      </text>
    </comment>
    <comment ref="B26" authorId="0" shapeId="0" xr:uid="{00000000-0006-0000-0000-000007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34</t>
        </r>
      </text>
    </comment>
    <comment ref="B27" authorId="0" shapeId="0" xr:uid="{00000000-0006-0000-0000-000008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Luis Sacristan fra 34</t>
        </r>
      </text>
    </comment>
    <comment ref="B28" authorId="0" shapeId="0" xr:uid="{00000000-0006-0000-0000-000009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29" authorId="0" shapeId="0" xr:uid="{00000000-0006-0000-0000-00000A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0" authorId="0" shapeId="0" xr:uid="{00000000-0006-0000-0000-00000B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1" authorId="0" shapeId="0" xr:uid="{00000000-0006-0000-0000-00000C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2" authorId="0" shapeId="0" xr:uid="{00000000-0006-0000-0000-00000D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3" authorId="0" shapeId="0" xr:uid="{00000000-0006-0000-0000-00000E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4" authorId="0" shapeId="0" xr:uid="{00000000-0006-0000-0000-00000F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5" authorId="0" shapeId="0" xr:uid="{00000000-0006-0000-0000-000010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6" authorId="0" shapeId="0" xr:uid="{00000000-0006-0000-0000-000011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7" authorId="0" shapeId="0" xr:uid="{00000000-0006-0000-0000-000012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8" authorId="0" shapeId="0" xr:uid="{00000000-0006-0000-0000-000013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39" authorId="0" shapeId="0" xr:uid="{00000000-0006-0000-0000-000014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40" authorId="0" shapeId="0" xr:uid="{00000000-0006-0000-0000-000015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940</t>
        </r>
      </text>
    </comment>
    <comment ref="B41" authorId="0" shapeId="0" xr:uid="{00000000-0006-0000-0000-000016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Mobiliar fra 1210</t>
        </r>
      </text>
    </comment>
    <comment ref="B42" authorId="0" shapeId="0" xr:uid="{00000000-0006-0000-0000-000017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Superestudio fra 1166</t>
        </r>
      </text>
    </comment>
    <comment ref="B43" authorId="0" shapeId="0" xr:uid="{00000000-0006-0000-0000-000018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Ofiprix fra 9285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Arantxa Villar</author>
  </authors>
  <commentList>
    <comment ref="B49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Amazon fra 7361</t>
        </r>
      </text>
    </comment>
    <comment ref="B50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Amazon EU fra 7154</t>
        </r>
      </text>
    </comment>
    <comment ref="B51" authorId="0" shapeId="0" xr:uid="{00000000-0006-0000-0100-000003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Apple fra 734</t>
        </r>
      </text>
    </comment>
    <comment ref="B52" authorId="0" shapeId="0" xr:uid="{00000000-0006-0000-0100-000004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Amazon fra 522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K Tuin fra 2676</t>
        </r>
      </text>
    </comment>
    <comment ref="B54" authorId="0" shapeId="0" xr:uid="{00000000-0006-0000-0100-000006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K Tuin fra 2676</t>
        </r>
      </text>
    </comment>
    <comment ref="B55" authorId="0" shapeId="0" xr:uid="{00000000-0006-0000-0100-000007000000}">
      <text>
        <r>
          <rPr>
            <b/>
            <sz val="9"/>
            <color indexed="81"/>
            <rFont val="Calibri"/>
            <family val="2"/>
          </rPr>
          <t>Arantxa Villar:</t>
        </r>
        <r>
          <rPr>
            <sz val="9"/>
            <color indexed="81"/>
            <rFont val="Calibri"/>
            <family val="2"/>
          </rPr>
          <t xml:space="preserve">
K Tuin fra 2676</t>
        </r>
      </text>
    </comment>
  </commentList>
</comments>
</file>

<file path=xl/sharedStrings.xml><?xml version="1.0" encoding="utf-8"?>
<sst xmlns="http://schemas.openxmlformats.org/spreadsheetml/2006/main" count="1024" uniqueCount="356">
  <si>
    <t>Bien inversión</t>
  </si>
  <si>
    <t>Inmovilizado</t>
  </si>
  <si>
    <t>Importe compra</t>
  </si>
  <si>
    <t>%</t>
  </si>
  <si>
    <t>Meses</t>
  </si>
  <si>
    <t>Grupo</t>
  </si>
  <si>
    <t>Subcuenta</t>
  </si>
  <si>
    <t>Dotación</t>
  </si>
  <si>
    <t>Proveedor</t>
  </si>
  <si>
    <t>F.compra</t>
  </si>
  <si>
    <t>Inicio amortización</t>
  </si>
  <si>
    <t>Documento</t>
  </si>
  <si>
    <t>Naturaleza</t>
  </si>
  <si>
    <t>Ubicación</t>
  </si>
  <si>
    <t>No</t>
  </si>
  <si>
    <t xml:space="preserve">1 </t>
  </si>
  <si>
    <t xml:space="preserve">28100002    </t>
  </si>
  <si>
    <t xml:space="preserve">68100000    </t>
  </si>
  <si>
    <t xml:space="preserve">40000000    </t>
  </si>
  <si>
    <t xml:space="preserve">Inmovilizado Material                               </t>
  </si>
  <si>
    <t xml:space="preserve">INNAXIS C/ Velazquez, 157  </t>
  </si>
  <si>
    <t xml:space="preserve">3 </t>
  </si>
  <si>
    <t xml:space="preserve">40000006    </t>
  </si>
  <si>
    <t xml:space="preserve">40000005    </t>
  </si>
  <si>
    <t>0000000006</t>
  </si>
  <si>
    <t xml:space="preserve">4 </t>
  </si>
  <si>
    <t xml:space="preserve">40000001    </t>
  </si>
  <si>
    <t>29-11-07</t>
  </si>
  <si>
    <t>0000000007</t>
  </si>
  <si>
    <t xml:space="preserve">29        </t>
  </si>
  <si>
    <t>26-03-08</t>
  </si>
  <si>
    <t xml:space="preserve">31        </t>
  </si>
  <si>
    <t>0000000011</t>
  </si>
  <si>
    <t xml:space="preserve">5 </t>
  </si>
  <si>
    <t xml:space="preserve">28050000    </t>
  </si>
  <si>
    <t xml:space="preserve">68000000    </t>
  </si>
  <si>
    <t xml:space="preserve">40000017    </t>
  </si>
  <si>
    <t>0000000037</t>
  </si>
  <si>
    <t xml:space="preserve">315       </t>
  </si>
  <si>
    <t>0000000038</t>
  </si>
  <si>
    <t>0000000041</t>
  </si>
  <si>
    <t>26-08-11</t>
  </si>
  <si>
    <t xml:space="preserve">675       </t>
  </si>
  <si>
    <t>INNAXIS C/ Ortega y Gasset,</t>
  </si>
  <si>
    <t>0000000042</t>
  </si>
  <si>
    <t>13-07-11</t>
  </si>
  <si>
    <t xml:space="preserve">678       </t>
  </si>
  <si>
    <t>0000000043</t>
  </si>
  <si>
    <t xml:space="preserve">41010000    </t>
  </si>
  <si>
    <t xml:space="preserve">859       </t>
  </si>
  <si>
    <t>0000000044</t>
  </si>
  <si>
    <t xml:space="preserve">41010001    </t>
  </si>
  <si>
    <t xml:space="preserve">901       </t>
  </si>
  <si>
    <t>0000000046</t>
  </si>
  <si>
    <t xml:space="preserve">902       </t>
  </si>
  <si>
    <t>0000000047</t>
  </si>
  <si>
    <t xml:space="preserve">903       </t>
  </si>
  <si>
    <t>0000000048</t>
  </si>
  <si>
    <t xml:space="preserve">904       </t>
  </si>
  <si>
    <t>0000000049</t>
  </si>
  <si>
    <t xml:space="preserve">906       </t>
  </si>
  <si>
    <t>0000000054</t>
  </si>
  <si>
    <t xml:space="preserve">736       </t>
  </si>
  <si>
    <t>0000000055</t>
  </si>
  <si>
    <t xml:space="preserve">40000045    </t>
  </si>
  <si>
    <t>27-09-12</t>
  </si>
  <si>
    <t xml:space="preserve">844       </t>
  </si>
  <si>
    <t>0000000056</t>
  </si>
  <si>
    <t xml:space="preserve">1057      </t>
  </si>
  <si>
    <t>0000000057</t>
  </si>
  <si>
    <t xml:space="preserve">1084      </t>
  </si>
  <si>
    <t>0000000058</t>
  </si>
  <si>
    <t>0000000059</t>
  </si>
  <si>
    <t xml:space="preserve">1282      </t>
  </si>
  <si>
    <t>0000000061</t>
  </si>
  <si>
    <t xml:space="preserve">163       </t>
  </si>
  <si>
    <t>0000000062</t>
  </si>
  <si>
    <t xml:space="preserve">432       </t>
  </si>
  <si>
    <t>0000000063</t>
  </si>
  <si>
    <t xml:space="preserve">572       </t>
  </si>
  <si>
    <t>0000000064</t>
  </si>
  <si>
    <t xml:space="preserve">573       </t>
  </si>
  <si>
    <t>0000000065</t>
  </si>
  <si>
    <t xml:space="preserve">852       </t>
  </si>
  <si>
    <t xml:space="preserve">6 </t>
  </si>
  <si>
    <t xml:space="preserve">73000000    </t>
  </si>
  <si>
    <t>0000000068</t>
  </si>
  <si>
    <t xml:space="preserve">4         </t>
  </si>
  <si>
    <t>0000000069</t>
  </si>
  <si>
    <t xml:space="preserve">6         </t>
  </si>
  <si>
    <t>0000000070</t>
  </si>
  <si>
    <t xml:space="preserve">8         </t>
  </si>
  <si>
    <t>0000000071</t>
  </si>
  <si>
    <t xml:space="preserve">41        </t>
  </si>
  <si>
    <t>0000000072</t>
  </si>
  <si>
    <t xml:space="preserve">122       </t>
  </si>
  <si>
    <t>0000000075</t>
  </si>
  <si>
    <t xml:space="preserve">40000058    </t>
  </si>
  <si>
    <t>0000000076</t>
  </si>
  <si>
    <t xml:space="preserve">613       </t>
  </si>
  <si>
    <t>0000000077</t>
  </si>
  <si>
    <t xml:space="preserve">612       </t>
  </si>
  <si>
    <t>0000000078</t>
  </si>
  <si>
    <t xml:space="preserve">1361      </t>
  </si>
  <si>
    <t xml:space="preserve">Elemento </t>
  </si>
  <si>
    <t>importe</t>
  </si>
  <si>
    <t>fecha adqu</t>
  </si>
  <si>
    <t>Amort. Acumulada 2014</t>
  </si>
  <si>
    <t>Contabilidad</t>
  </si>
  <si>
    <t>Tablas</t>
  </si>
  <si>
    <t>Diferencia</t>
  </si>
  <si>
    <t>Amortizacion</t>
  </si>
  <si>
    <t>Coste</t>
  </si>
  <si>
    <t>AA2015</t>
  </si>
  <si>
    <t>Dotac 2015</t>
  </si>
  <si>
    <t>F de compra</t>
  </si>
  <si>
    <t>TRASPASO</t>
  </si>
  <si>
    <t xml:space="preserve">AA 2014 </t>
  </si>
  <si>
    <t>Saldo inicial</t>
  </si>
  <si>
    <t xml:space="preserve">Tablas </t>
  </si>
  <si>
    <t>Altas</t>
  </si>
  <si>
    <t>Bajas</t>
  </si>
  <si>
    <t>Traspasos</t>
  </si>
  <si>
    <t>Saldo final</t>
  </si>
  <si>
    <t>F traspaso</t>
  </si>
  <si>
    <t>DOTACIÓN 2016</t>
  </si>
  <si>
    <t>Amort. Acumul.2016</t>
  </si>
  <si>
    <t>VNC 2016</t>
  </si>
  <si>
    <t>DOTACION 2016</t>
  </si>
  <si>
    <t>01/01/2015 FECHA TRASPASO</t>
  </si>
  <si>
    <t>01/01/2015 F TRASPASO</t>
  </si>
  <si>
    <t>14 TRASPASADO</t>
  </si>
  <si>
    <t>AA 2016</t>
  </si>
  <si>
    <t>04-03-16</t>
  </si>
  <si>
    <t>16-03-16</t>
  </si>
  <si>
    <t>19-03-16</t>
  </si>
  <si>
    <t>TOTAL</t>
  </si>
  <si>
    <t>BIENES NO INCLUIDOS EN EL INVENTARIO</t>
  </si>
  <si>
    <t>ESTE IMPORTE NO ESTA INCLUIDO EN EL INVENTARIO</t>
  </si>
  <si>
    <t>Detalle</t>
  </si>
  <si>
    <t>Mobiliario de oficina</t>
  </si>
  <si>
    <t>DOTACIÓN 2017</t>
  </si>
  <si>
    <t>Sillas y mesas</t>
  </si>
  <si>
    <t>VNC 2017</t>
  </si>
  <si>
    <t>Cuadros</t>
  </si>
  <si>
    <t>Armarios</t>
  </si>
  <si>
    <t>Mobiliario</t>
  </si>
  <si>
    <t>Cuadro</t>
  </si>
  <si>
    <t>Mesa auxiliar</t>
  </si>
  <si>
    <t>Pizarra Classic Mag.</t>
  </si>
  <si>
    <t>Muebles</t>
  </si>
  <si>
    <t>Mesa doble con cajonera</t>
  </si>
  <si>
    <t>Silla Gioconda</t>
  </si>
  <si>
    <t>Composición librería</t>
  </si>
  <si>
    <t>TV+Video+telefono+audio</t>
  </si>
  <si>
    <t>MACBook</t>
  </si>
  <si>
    <t>Ipad 32 GB</t>
  </si>
  <si>
    <t>Accesorio MAC</t>
  </si>
  <si>
    <t>Imac 21.5</t>
  </si>
  <si>
    <t>MBAIR 13.3</t>
  </si>
  <si>
    <t>iPad 2 Wi-Fi 32Gb</t>
  </si>
  <si>
    <t>3M Pocket Projector</t>
  </si>
  <si>
    <t>Monitor Samsung</t>
  </si>
  <si>
    <t>IPAD y Apple TV</t>
  </si>
  <si>
    <t>Apple TV-ISP</t>
  </si>
  <si>
    <t>MacBook 13.2</t>
  </si>
  <si>
    <t>Iphone 5 16 gb</t>
  </si>
  <si>
    <t>Mac Mini CTO</t>
  </si>
  <si>
    <t>IMac 21.5"</t>
  </si>
  <si>
    <t>Apple Mac</t>
  </si>
  <si>
    <t>Teclado y ratón Apple</t>
  </si>
  <si>
    <t xml:space="preserve">Monitor Samsung </t>
  </si>
  <si>
    <t>Disco duro portable 2.5</t>
  </si>
  <si>
    <t>Samsung CLX 3305FW</t>
  </si>
  <si>
    <t>MacBook Air 13.3</t>
  </si>
  <si>
    <t>Movil Nexus 5</t>
  </si>
  <si>
    <t>Ordenador Dell</t>
  </si>
  <si>
    <t>Monitores LED HP 20</t>
  </si>
  <si>
    <t>Ordenador MBAir 11.6</t>
  </si>
  <si>
    <t>Motorola Moto G 8</t>
  </si>
  <si>
    <t>Motorola Moto G 8 GB</t>
  </si>
  <si>
    <t>MBAir 13.3 CTO</t>
  </si>
  <si>
    <t>Adaptador USB MAC</t>
  </si>
  <si>
    <t>0000000079</t>
  </si>
  <si>
    <t>Antenna for DS-B USB Dong</t>
  </si>
  <si>
    <t>0000000080</t>
  </si>
  <si>
    <t>Raspberry Pi</t>
  </si>
  <si>
    <t>0000000081</t>
  </si>
  <si>
    <t>Impresora HP Color Laserj</t>
  </si>
  <si>
    <t>0000000082</t>
  </si>
  <si>
    <t>0000000083</t>
  </si>
  <si>
    <t>MacBook Pro 13.3</t>
  </si>
  <si>
    <t>40000058</t>
  </si>
  <si>
    <t>Antena  SCO 1090 MCX</t>
  </si>
  <si>
    <t>USB 3.0 Puertos con cable</t>
  </si>
  <si>
    <t>0000000084</t>
  </si>
  <si>
    <t>0000000085</t>
  </si>
  <si>
    <t>Cable HDMI a VGA</t>
  </si>
  <si>
    <t>MacBook 12.0 Space Gray</t>
  </si>
  <si>
    <t>0000000086</t>
  </si>
  <si>
    <t>0000000087</t>
  </si>
  <si>
    <t>0000000088</t>
  </si>
  <si>
    <t>MacBookPro 13.3</t>
  </si>
  <si>
    <t>40000090</t>
  </si>
  <si>
    <t>Seagate Archive disco dur</t>
  </si>
  <si>
    <t>28170000</t>
  </si>
  <si>
    <t>Apple 45W Magsafe Power A</t>
  </si>
  <si>
    <t>Kit solar adaptado</t>
  </si>
  <si>
    <t>MAC Apple</t>
  </si>
  <si>
    <t>0000000101</t>
  </si>
  <si>
    <t>21-02-17</t>
  </si>
  <si>
    <t>40000089</t>
  </si>
  <si>
    <t>Proyector Sony y material</t>
  </si>
  <si>
    <t>03-03-17</t>
  </si>
  <si>
    <t>40000093</t>
  </si>
  <si>
    <t>40000107</t>
  </si>
  <si>
    <t>TV + Video</t>
  </si>
  <si>
    <t>Impresora Multifuncion</t>
  </si>
  <si>
    <t>Griferia</t>
  </si>
  <si>
    <t>Complementos MAC</t>
  </si>
  <si>
    <t>Apple iPhone 4S 16Gb</t>
  </si>
  <si>
    <t>MacBook (Serial number: C02T404PGTHT)</t>
  </si>
  <si>
    <t>MacBook Pro 13" (Serial number: C02TX15NHV29)</t>
  </si>
  <si>
    <t>Confluence Plugin</t>
  </si>
  <si>
    <t>FortiWifi 60B</t>
  </si>
  <si>
    <t>Sist. operativo apple</t>
  </si>
  <si>
    <t>Office MAC 2011</t>
  </si>
  <si>
    <t>Visual Web Ripper</t>
  </si>
  <si>
    <t>Aplicación inform DARMEP</t>
  </si>
  <si>
    <t>Adobe Creative Cloud</t>
  </si>
  <si>
    <t>Suscripción Adobe Creativ</t>
  </si>
  <si>
    <t>40000000</t>
  </si>
  <si>
    <t>Adobe Creative</t>
  </si>
  <si>
    <t>Amort. Acumul.2017</t>
  </si>
  <si>
    <t>DOTACIÓN 2018</t>
  </si>
  <si>
    <t>Amort. Acumul.2018</t>
  </si>
  <si>
    <t>VNC 2018</t>
  </si>
  <si>
    <t>DOTACION 2018</t>
  </si>
  <si>
    <t>01-01-18</t>
  </si>
  <si>
    <t>18-05-18</t>
  </si>
  <si>
    <t>25-10-18</t>
  </si>
  <si>
    <t>24-11-18</t>
  </si>
  <si>
    <t>Aplicaciones informaticas ADSB 2016</t>
  </si>
  <si>
    <t>Aplicaciones informaticas ADSB 2017</t>
  </si>
  <si>
    <t>Monitor UltraWide 29 pulgadas LG29UM59A-P</t>
  </si>
  <si>
    <t>&lt;Db&gt;</t>
  </si>
  <si>
    <t>28190000</t>
  </si>
  <si>
    <t>&lt;Hb&gt;</t>
  </si>
  <si>
    <t>Amortiz. Otro Inmov. Material</t>
  </si>
  <si>
    <t>Cuenta</t>
  </si>
  <si>
    <t>206.0.0.000</t>
  </si>
  <si>
    <t>206.0.0.001</t>
  </si>
  <si>
    <t>206.0.0.002</t>
  </si>
  <si>
    <t>28160000</t>
  </si>
  <si>
    <t>Amortiz. Aplicaciones</t>
  </si>
  <si>
    <t>28050000</t>
  </si>
  <si>
    <t>MBPRO 13 RET Plata 15 2,3 GHZ 78G</t>
  </si>
  <si>
    <t>Magic Keyboard</t>
  </si>
  <si>
    <t>Magic Mouse 2</t>
  </si>
  <si>
    <t>Altavoces Jabra Speak 710 MS Negro</t>
  </si>
  <si>
    <t>MBP 13.3 Silver 2,3 GHZ 8 GB 256 GB</t>
  </si>
  <si>
    <t xml:space="preserve">4 taburetes altos con respaldo LIX </t>
  </si>
  <si>
    <t>6 Sillas LIX Mate color gris</t>
  </si>
  <si>
    <t>FREGADERO TEKA STYLO 1C</t>
  </si>
  <si>
    <t>MICROONDAS TEKA MWE225FI</t>
  </si>
  <si>
    <t>Frigorifico TEKA FTM240</t>
  </si>
  <si>
    <t>Armario alto</t>
  </si>
  <si>
    <t xml:space="preserve">Taburete Blanco </t>
  </si>
  <si>
    <t>Cocina Lugo Blanco</t>
  </si>
  <si>
    <t>Monomando fregadero</t>
  </si>
  <si>
    <t>Bandeja escurreplatos de 60 cm</t>
  </si>
  <si>
    <t>5 Sillas Giocondas con brazos</t>
  </si>
  <si>
    <t>Renovacion Adobe Creative Cloud</t>
  </si>
  <si>
    <t>133</t>
  </si>
  <si>
    <t>89</t>
  </si>
  <si>
    <t>98</t>
  </si>
  <si>
    <t>102</t>
  </si>
  <si>
    <t>Mesa serie TREK BENCH</t>
  </si>
  <si>
    <t>2 mesas serie TREK extensión BENCH</t>
  </si>
  <si>
    <t>Mesa serie TREK extension BENCH</t>
  </si>
  <si>
    <t>2 Mesa serie TREK BENCH</t>
  </si>
  <si>
    <t>2 MESAS SUELTAS SERIE TREK</t>
  </si>
  <si>
    <t>2 Accesorios mesa serie TREK faldon</t>
  </si>
  <si>
    <t>16 pasacables cuadrados</t>
  </si>
  <si>
    <t>7 Bandejas electrificacion BENCH</t>
  </si>
  <si>
    <t>15 serie BUCS Melamina</t>
  </si>
  <si>
    <t>1 serie BUCS Melamina</t>
  </si>
  <si>
    <t>2 armarios de 4 estantes</t>
  </si>
  <si>
    <t>2 armarios altura mesa  1 estante</t>
  </si>
  <si>
    <t>DOTACIÓN 2019</t>
  </si>
  <si>
    <t>Amort. Acumul.2019</t>
  </si>
  <si>
    <t>VNC 2019</t>
  </si>
  <si>
    <t>DOTACION 2019</t>
  </si>
  <si>
    <t>Monitor LG 72 cm</t>
  </si>
  <si>
    <t>26-11-18</t>
  </si>
  <si>
    <t>28170001</t>
  </si>
  <si>
    <t>68100001</t>
  </si>
  <si>
    <t>28170002</t>
  </si>
  <si>
    <t>68100002</t>
  </si>
  <si>
    <t>DOTACIÓN 2020</t>
  </si>
  <si>
    <t>Amort. Acumul.2020</t>
  </si>
  <si>
    <t>VNC 2020</t>
  </si>
  <si>
    <t>DOTACIÓN 2021</t>
  </si>
  <si>
    <t>Amort. Acumul.2021</t>
  </si>
  <si>
    <t>VNC 2021</t>
  </si>
  <si>
    <t>DOTACION 2020</t>
  </si>
  <si>
    <t>DOTACION 2021</t>
  </si>
  <si>
    <t>APPLE MACBOOK PRO 13" 16GB</t>
  </si>
  <si>
    <t>12-11-20</t>
  </si>
  <si>
    <t>2 UDS. DELL P2419H LED DISPLAY 60,5</t>
  </si>
  <si>
    <t>13-04-21</t>
  </si>
  <si>
    <t>MBP 13.3 SG/2.0GHZ QC/16GB/512GB</t>
  </si>
  <si>
    <t>LG MONITOR 27UN83A-W</t>
  </si>
  <si>
    <t>27-08-21</t>
  </si>
  <si>
    <t>07-09-21</t>
  </si>
  <si>
    <t>DOTACION 2022</t>
  </si>
  <si>
    <t>Amort. Acumul.2022</t>
  </si>
  <si>
    <t>DOTACIÓN 2022</t>
  </si>
  <si>
    <t>VNC 2022</t>
  </si>
  <si>
    <t>29-04-22</t>
  </si>
  <si>
    <t>12-03-21</t>
  </si>
  <si>
    <t>28-11-21</t>
  </si>
  <si>
    <t>IPHONE 12 128GB AZUL</t>
  </si>
  <si>
    <t>APPLE MACBOOK PRO 16GB RAM 512 GB</t>
  </si>
  <si>
    <t>LG MONITOR 27UN83A-W27" BLANCO</t>
  </si>
  <si>
    <t>DOTACION 2023</t>
  </si>
  <si>
    <t>Amort. Acumul.2023</t>
  </si>
  <si>
    <t>VNC 2023</t>
  </si>
  <si>
    <t>DOTACIÓN 2023</t>
  </si>
  <si>
    <t>IPHONE 13 MINI 256GB AZUL</t>
  </si>
  <si>
    <t>06-03-23</t>
  </si>
  <si>
    <t>REGULARIZACION</t>
  </si>
  <si>
    <t>DOTACIÓN 2024</t>
  </si>
  <si>
    <t>Amort. Acumul.2024</t>
  </si>
  <si>
    <t>VNC 2024</t>
  </si>
  <si>
    <t>DOTACION 2024</t>
  </si>
  <si>
    <t>DOTACIÓN 2025</t>
  </si>
  <si>
    <t>Amort. Acumul.2025</t>
  </si>
  <si>
    <t>VNC 2025</t>
  </si>
  <si>
    <t>DOTACION 2025</t>
  </si>
  <si>
    <t>Amortiz. Mobiliario 2025</t>
  </si>
  <si>
    <t>FINAL</t>
  </si>
  <si>
    <t>BAJA</t>
  </si>
  <si>
    <t>FRA 2025/05</t>
  </si>
  <si>
    <t>DAVID</t>
  </si>
  <si>
    <t>PAULA</t>
  </si>
  <si>
    <t>INES</t>
  </si>
  <si>
    <t>FRA 2025/02</t>
  </si>
  <si>
    <t>FRA 2025/03</t>
  </si>
  <si>
    <t>FRA 2025/01</t>
  </si>
  <si>
    <t>BEATRIZ</t>
  </si>
  <si>
    <t>FRA 2025/06</t>
  </si>
  <si>
    <t>Amortiz. Inmov. Inmaterial 2025</t>
  </si>
  <si>
    <t>CUADRADO CONTABILIDAD</t>
  </si>
  <si>
    <t>EN NARANJA AMORTIZACIONES IMPORTE 576,32 Y BAJAS INMOVILIZADO EN FECHA VENTA INMOVILIZADO 86,64</t>
  </si>
  <si>
    <t>EN AMARILLO LAS AMORTIZACIONES CONTABILIZADAS EN LA FECHA DE LA VENTA DEL INMOVILIZADO O ABANDONO OFICINA 15-11-2025 316,11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</si>
</sst>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B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43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0" xfId="0" applyNumberFormat="1"/>
    <xf numFmtId="14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3" fillId="0" borderId="0" xfId="0" applyNumberFormat="1" applyFont="1"/>
    <xf numFmtId="9" fontId="0" fillId="0" borderId="0" xfId="2" applyFont="1" applyAlignment="1" applyProtection="1">
      <alignment horizontal="right"/>
      <protection locked="0"/>
    </xf>
    <xf numFmtId="4" fontId="0" fillId="0" borderId="1" xfId="0" applyNumberFormat="1" applyBorder="1"/>
    <xf numFmtId="9" fontId="5" fillId="0" borderId="0" xfId="2" applyFont="1" applyAlignment="1" applyProtection="1">
      <alignment horizontal="right"/>
      <protection locked="0"/>
    </xf>
    <xf numFmtId="9" fontId="0" fillId="0" borderId="0" xfId="2" applyFont="1" applyFill="1" applyAlignment="1" applyProtection="1">
      <alignment horizontal="right"/>
      <protection locked="0"/>
    </xf>
    <xf numFmtId="9" fontId="0" fillId="0" borderId="0" xfId="0" applyNumberFormat="1"/>
    <xf numFmtId="4" fontId="1" fillId="0" borderId="0" xfId="0" applyNumberFormat="1" applyFont="1"/>
    <xf numFmtId="0" fontId="0" fillId="6" borderId="0" xfId="0" applyFill="1"/>
    <xf numFmtId="0" fontId="2" fillId="6" borderId="0" xfId="0" applyFont="1" applyFill="1"/>
    <xf numFmtId="14" fontId="0" fillId="0" borderId="0" xfId="0" applyNumberFormat="1"/>
    <xf numFmtId="0" fontId="0" fillId="4" borderId="0" xfId="0" applyFill="1"/>
    <xf numFmtId="0" fontId="0" fillId="0" borderId="1" xfId="0" applyBorder="1"/>
    <xf numFmtId="0" fontId="7" fillId="0" borderId="0" xfId="0" applyFont="1"/>
    <xf numFmtId="9" fontId="0" fillId="0" borderId="0" xfId="2" applyFont="1" applyFill="1" applyBorder="1" applyAlignment="1" applyProtection="1">
      <alignment horizontal="right"/>
      <protection locked="0"/>
    </xf>
    <xf numFmtId="9" fontId="5" fillId="0" borderId="0" xfId="2" applyFont="1" applyBorder="1" applyAlignment="1" applyProtection="1">
      <alignment horizontal="right"/>
      <protection locked="0"/>
    </xf>
    <xf numFmtId="9" fontId="5" fillId="0" borderId="0" xfId="2" applyFon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9" fontId="8" fillId="0" borderId="0" xfId="2" applyFont="1" applyBorder="1" applyAlignment="1" applyProtection="1">
      <alignment horizontal="right"/>
      <protection locked="0"/>
    </xf>
    <xf numFmtId="0" fontId="8" fillId="0" borderId="0" xfId="0" applyFont="1"/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Border="1"/>
    <xf numFmtId="4" fontId="3" fillId="0" borderId="2" xfId="0" applyNumberFormat="1" applyFont="1" applyBorder="1"/>
    <xf numFmtId="4" fontId="2" fillId="0" borderId="2" xfId="0" applyNumberFormat="1" applyFont="1" applyBorder="1"/>
    <xf numFmtId="4" fontId="0" fillId="0" borderId="2" xfId="0" applyNumberFormat="1" applyBorder="1"/>
    <xf numFmtId="0" fontId="2" fillId="0" borderId="2" xfId="0" applyFont="1" applyBorder="1"/>
    <xf numFmtId="4" fontId="2" fillId="0" borderId="2" xfId="0" applyNumberFormat="1" applyFont="1" applyBorder="1" applyAlignment="1" applyProtection="1">
      <alignment horizontal="right"/>
      <protection locked="0"/>
    </xf>
    <xf numFmtId="4" fontId="0" fillId="7" borderId="0" xfId="0" applyNumberFormat="1" applyFill="1" applyAlignment="1" applyProtection="1">
      <alignment horizontal="right"/>
      <protection locked="0"/>
    </xf>
    <xf numFmtId="4" fontId="0" fillId="7" borderId="0" xfId="0" applyNumberFormat="1" applyFill="1"/>
    <xf numFmtId="4" fontId="8" fillId="7" borderId="0" xfId="0" applyNumberFormat="1" applyFont="1" applyFill="1" applyAlignment="1" applyProtection="1">
      <alignment horizontal="right"/>
      <protection locked="0"/>
    </xf>
    <xf numFmtId="0" fontId="0" fillId="7" borderId="0" xfId="0" applyFill="1"/>
    <xf numFmtId="0" fontId="2" fillId="0" borderId="0" xfId="0" applyFont="1"/>
    <xf numFmtId="0" fontId="0" fillId="7" borderId="0" xfId="0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right"/>
      <protection locked="0"/>
    </xf>
    <xf numFmtId="9" fontId="8" fillId="0" borderId="0" xfId="2" applyFont="1" applyFill="1" applyBorder="1" applyAlignment="1" applyProtection="1">
      <alignment horizontal="right"/>
      <protection locked="0"/>
    </xf>
    <xf numFmtId="9" fontId="0" fillId="7" borderId="0" xfId="2" applyFont="1" applyFill="1" applyBorder="1" applyAlignment="1" applyProtection="1">
      <alignment horizontal="right"/>
      <protection locked="0"/>
    </xf>
    <xf numFmtId="14" fontId="0" fillId="7" borderId="0" xfId="0" applyNumberFormat="1" applyFill="1"/>
    <xf numFmtId="4" fontId="1" fillId="7" borderId="0" xfId="0" applyNumberFormat="1" applyFont="1" applyFill="1"/>
    <xf numFmtId="4" fontId="0" fillId="0" borderId="0" xfId="0" applyNumberFormat="1" applyAlignment="1" applyProtection="1">
      <alignment horizontal="left"/>
      <protection locked="0"/>
    </xf>
    <xf numFmtId="4" fontId="8" fillId="0" borderId="0" xfId="0" applyNumberFormat="1" applyFont="1"/>
    <xf numFmtId="0" fontId="8" fillId="7" borderId="0" xfId="0" applyFont="1" applyFill="1" applyAlignment="1" applyProtection="1">
      <alignment horizontal="left"/>
      <protection locked="0"/>
    </xf>
    <xf numFmtId="9" fontId="8" fillId="7" borderId="0" xfId="2" applyFont="1" applyFill="1" applyAlignment="1" applyProtection="1">
      <alignment horizontal="right"/>
      <protection locked="0"/>
    </xf>
    <xf numFmtId="0" fontId="8" fillId="7" borderId="0" xfId="0" applyFont="1" applyFill="1" applyAlignment="1" applyProtection="1">
      <alignment horizontal="right"/>
      <protection locked="0"/>
    </xf>
    <xf numFmtId="4" fontId="8" fillId="7" borderId="0" xfId="0" applyNumberFormat="1" applyFont="1" applyFill="1"/>
    <xf numFmtId="0" fontId="8" fillId="7" borderId="0" xfId="0" applyFont="1" applyFill="1"/>
    <xf numFmtId="4" fontId="0" fillId="8" borderId="0" xfId="0" applyNumberFormat="1" applyFill="1"/>
    <xf numFmtId="4" fontId="8" fillId="8" borderId="0" xfId="0" applyNumberFormat="1" applyFont="1" applyFill="1"/>
    <xf numFmtId="0" fontId="2" fillId="5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9" borderId="0" xfId="0" applyFont="1" applyFill="1" applyAlignment="1" applyProtection="1">
      <alignment horizontal="center" wrapText="1"/>
      <protection locked="0"/>
    </xf>
    <xf numFmtId="4" fontId="2" fillId="9" borderId="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4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4" fontId="0" fillId="2" borderId="0" xfId="0" applyNumberFormat="1" applyFill="1" applyAlignment="1" applyProtection="1">
      <alignment horizontal="left"/>
      <protection locked="0"/>
    </xf>
    <xf numFmtId="4" fontId="0" fillId="2" borderId="0" xfId="0" applyNumberFormat="1" applyFill="1"/>
    <xf numFmtId="0" fontId="0" fillId="2" borderId="0" xfId="0" applyFill="1"/>
    <xf numFmtId="0" fontId="2" fillId="5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9" fontId="1" fillId="0" borderId="0" xfId="2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9" fontId="1" fillId="0" borderId="0" xfId="2" applyFont="1" applyAlignment="1" applyProtection="1">
      <alignment horizontal="right"/>
      <protection locked="0"/>
    </xf>
    <xf numFmtId="4" fontId="1" fillId="8" borderId="0" xfId="0" applyNumberFormat="1" applyFont="1" applyFill="1"/>
    <xf numFmtId="4" fontId="5" fillId="0" borderId="0" xfId="0" applyNumberFormat="1" applyFont="1"/>
    <xf numFmtId="49" fontId="0" fillId="0" borderId="0" xfId="0" applyNumberFormat="1" applyAlignment="1" applyProtection="1">
      <alignment horizontal="left"/>
      <protection locked="0"/>
    </xf>
    <xf numFmtId="164" fontId="8" fillId="0" borderId="0" xfId="0" applyNumberFormat="1" applyFont="1"/>
    <xf numFmtId="4" fontId="11" fillId="0" borderId="0" xfId="0" applyNumberFormat="1" applyFont="1" applyAlignment="1" applyProtection="1">
      <alignment horizontal="right"/>
      <protection locked="0"/>
    </xf>
    <xf numFmtId="2" fontId="0" fillId="0" borderId="0" xfId="0" applyNumberFormat="1"/>
    <xf numFmtId="4" fontId="2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" fontId="2" fillId="5" borderId="0" xfId="0" applyNumberFormat="1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/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0" fillId="10" borderId="0" xfId="0" applyNumberFormat="1" applyFill="1"/>
    <xf numFmtId="4" fontId="11" fillId="0" borderId="0" xfId="0" applyNumberFormat="1" applyFont="1" applyAlignment="1" applyProtection="1">
      <alignment horizontal="center"/>
      <protection locked="0"/>
    </xf>
    <xf numFmtId="9" fontId="5" fillId="7" borderId="0" xfId="2" applyFont="1" applyFill="1" applyAlignment="1" applyProtection="1">
      <alignment horizontal="right"/>
      <protection locked="0"/>
    </xf>
    <xf numFmtId="14" fontId="1" fillId="7" borderId="0" xfId="0" applyNumberFormat="1" applyFont="1" applyFill="1" applyAlignment="1" applyProtection="1">
      <alignment horizontal="left"/>
      <protection locked="0"/>
    </xf>
    <xf numFmtId="4" fontId="2" fillId="8" borderId="2" xfId="0" applyNumberFormat="1" applyFont="1" applyFill="1" applyBorder="1" applyAlignment="1" applyProtection="1">
      <alignment horizontal="right"/>
      <protection locked="0"/>
    </xf>
    <xf numFmtId="4" fontId="11" fillId="8" borderId="0" xfId="0" applyNumberFormat="1" applyFont="1" applyFill="1" applyAlignment="1" applyProtection="1">
      <alignment horizontal="right"/>
      <protection locked="0"/>
    </xf>
    <xf numFmtId="4" fontId="2" fillId="8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7" xfId="0" applyNumberFormat="1" applyBorder="1"/>
    <xf numFmtId="49" fontId="0" fillId="0" borderId="8" xfId="0" applyNumberFormat="1" applyBorder="1" applyAlignment="1" applyProtection="1">
      <alignment horizontal="left"/>
      <protection locked="0"/>
    </xf>
    <xf numFmtId="4" fontId="0" fillId="0" borderId="9" xfId="0" applyNumberFormat="1" applyBorder="1"/>
    <xf numFmtId="0" fontId="0" fillId="0" borderId="6" xfId="0" applyBorder="1" applyAlignment="1" applyProtection="1">
      <alignment horizontal="left"/>
      <protection locked="0"/>
    </xf>
    <xf numFmtId="4" fontId="0" fillId="8" borderId="0" xfId="0" applyNumberFormat="1" applyFill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8" borderId="0" xfId="0" applyFill="1"/>
    <xf numFmtId="49" fontId="0" fillId="8" borderId="0" xfId="0" applyNumberForma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49" fontId="5" fillId="8" borderId="0" xfId="0" applyNumberFormat="1" applyFont="1" applyFill="1" applyAlignment="1" applyProtection="1">
      <alignment horizontal="left"/>
      <protection locked="0"/>
    </xf>
    <xf numFmtId="4" fontId="5" fillId="8" borderId="0" xfId="0" applyNumberFormat="1" applyFont="1" applyFill="1" applyAlignment="1" applyProtection="1">
      <alignment horizontal="right"/>
      <protection locked="0"/>
    </xf>
    <xf numFmtId="0" fontId="0" fillId="8" borderId="0" xfId="0" applyFill="1" applyAlignment="1">
      <alignment horizontal="right" vertical="top" wrapText="1"/>
    </xf>
    <xf numFmtId="49" fontId="5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right" vertical="top" wrapText="1"/>
    </xf>
    <xf numFmtId="14" fontId="5" fillId="0" borderId="0" xfId="0" applyNumberFormat="1" applyFont="1" applyAlignment="1" applyProtection="1">
      <alignment horizontal="left"/>
      <protection locked="0"/>
    </xf>
    <xf numFmtId="9" fontId="8" fillId="8" borderId="0" xfId="2" applyFont="1" applyFill="1" applyBorder="1" applyAlignment="1" applyProtection="1">
      <alignment horizontal="right"/>
      <protection locked="0"/>
    </xf>
    <xf numFmtId="0" fontId="0" fillId="8" borderId="0" xfId="0" applyFill="1" applyAlignment="1">
      <alignment horizontal="left" vertical="center"/>
    </xf>
    <xf numFmtId="14" fontId="0" fillId="8" borderId="0" xfId="0" applyNumberFormat="1" applyFill="1" applyAlignment="1" applyProtection="1">
      <alignment horizontal="left"/>
      <protection locked="0"/>
    </xf>
    <xf numFmtId="0" fontId="0" fillId="8" borderId="0" xfId="0" applyFill="1" applyAlignment="1">
      <alignment horizontal="left"/>
    </xf>
    <xf numFmtId="4" fontId="1" fillId="2" borderId="0" xfId="0" applyNumberFormat="1" applyFont="1" applyFill="1"/>
    <xf numFmtId="0" fontId="0" fillId="11" borderId="0" xfId="0" applyFill="1" applyAlignment="1" applyProtection="1">
      <alignment horizontal="left"/>
      <protection locked="0"/>
    </xf>
    <xf numFmtId="14" fontId="0" fillId="11" borderId="0" xfId="0" applyNumberFormat="1" applyFill="1" applyAlignment="1" applyProtection="1">
      <alignment horizontal="left"/>
      <protection locked="0"/>
    </xf>
    <xf numFmtId="9" fontId="0" fillId="11" borderId="0" xfId="2" applyFont="1" applyFill="1" applyBorder="1" applyAlignment="1" applyProtection="1">
      <alignment horizontal="right"/>
      <protection locked="0"/>
    </xf>
    <xf numFmtId="0" fontId="0" fillId="11" borderId="0" xfId="0" applyFill="1" applyAlignment="1" applyProtection="1">
      <alignment horizontal="right"/>
      <protection locked="0"/>
    </xf>
    <xf numFmtId="4" fontId="0" fillId="11" borderId="0" xfId="0" applyNumberFormat="1" applyFill="1" applyAlignment="1" applyProtection="1">
      <alignment horizontal="left"/>
      <protection locked="0"/>
    </xf>
    <xf numFmtId="4" fontId="0" fillId="11" borderId="0" xfId="0" applyNumberFormat="1" applyFill="1"/>
    <xf numFmtId="0" fontId="0" fillId="11" borderId="0" xfId="0" applyFill="1"/>
    <xf numFmtId="9" fontId="5" fillId="12" borderId="0" xfId="2" applyFont="1" applyFill="1" applyBorder="1" applyAlignment="1" applyProtection="1">
      <alignment horizontal="right"/>
      <protection locked="0"/>
    </xf>
    <xf numFmtId="0" fontId="0" fillId="12" borderId="0" xfId="0" applyFill="1" applyAlignment="1" applyProtection="1">
      <alignment horizontal="right"/>
      <protection locked="0"/>
    </xf>
    <xf numFmtId="0" fontId="0" fillId="12" borderId="0" xfId="0" applyFill="1" applyAlignment="1" applyProtection="1">
      <alignment horizontal="left"/>
      <protection locked="0"/>
    </xf>
    <xf numFmtId="14" fontId="0" fillId="12" borderId="0" xfId="0" applyNumberFormat="1" applyFill="1" applyAlignment="1" applyProtection="1">
      <alignment horizontal="left"/>
      <protection locked="0"/>
    </xf>
    <xf numFmtId="0" fontId="0" fillId="12" borderId="0" xfId="0" applyFill="1"/>
    <xf numFmtId="4" fontId="0" fillId="12" borderId="0" xfId="0" applyNumberFormat="1" applyFill="1"/>
    <xf numFmtId="4" fontId="1" fillId="2" borderId="0" xfId="0" applyNumberFormat="1" applyFont="1" applyFill="1" applyAlignment="1" applyProtection="1">
      <alignment horizontal="right"/>
      <protection locked="0"/>
    </xf>
    <xf numFmtId="4" fontId="8" fillId="8" borderId="0" xfId="0" applyNumberFormat="1" applyFont="1" applyFill="1" applyAlignment="1" applyProtection="1">
      <alignment horizontal="right"/>
      <protection locked="0"/>
    </xf>
    <xf numFmtId="165" fontId="0" fillId="8" borderId="0" xfId="0" applyNumberFormat="1" applyFill="1" applyAlignment="1" applyProtection="1">
      <alignment horizontal="left"/>
      <protection locked="0"/>
    </xf>
    <xf numFmtId="1" fontId="8" fillId="7" borderId="0" xfId="0" applyNumberFormat="1" applyFon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14" fontId="0" fillId="11" borderId="0" xfId="0" applyNumberFormat="1" applyFill="1" applyAlignment="1" applyProtection="1">
      <alignment horizontal="center"/>
      <protection locked="0"/>
    </xf>
    <xf numFmtId="14" fontId="0" fillId="7" borderId="0" xfId="0" applyNumberFormat="1" applyFill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5" fillId="8" borderId="0" xfId="0" applyNumberFormat="1" applyFont="1" applyFill="1" applyAlignment="1" applyProtection="1">
      <alignment horizontal="center"/>
      <protection locked="0"/>
    </xf>
    <xf numFmtId="49" fontId="0" fillId="8" borderId="0" xfId="0" applyNumberFormat="1" applyFill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/>
    </xf>
    <xf numFmtId="0" fontId="0" fillId="8" borderId="0" xfId="0" applyFill="1" applyAlignment="1">
      <alignment horizontal="right"/>
    </xf>
    <xf numFmtId="0" fontId="2" fillId="0" borderId="2" xfId="0" applyFont="1" applyBorder="1" applyAlignment="1">
      <alignment horizontal="right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/>
    </xf>
    <xf numFmtId="0" fontId="1" fillId="2" borderId="0" xfId="0" applyFont="1" applyFill="1" applyAlignment="1" applyProtection="1">
      <alignment horizontal="lef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5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14" fontId="0" fillId="7" borderId="0" xfId="0" applyNumberFormat="1" applyFill="1" applyAlignment="1" applyProtection="1">
      <alignment horizontal="left"/>
      <protection locked="0"/>
    </xf>
    <xf numFmtId="9" fontId="0" fillId="7" borderId="0" xfId="2" applyFon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7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7" borderId="0" xfId="0" applyFill="1" applyAlignment="1">
      <alignment horizontal="left"/>
    </xf>
  </cellXfs>
  <cellStyles count="54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Normal" xfId="0" builtinId="0"/>
    <cellStyle name="Normal 2" xfId="1" xr:uid="{00000000-0005-0000-0000-00001D020000}"/>
    <cellStyle name="Porcentaje" xfId="2" builtinId="5"/>
  </cellStyles>
  <dxfs count="0"/>
  <tableStyles count="0" defaultTableStyle="TableStyleMedium9" defaultPivotStyle="PivotStyleLight16"/>
  <colors>
    <mruColors>
      <color rgb="FFFF66FF"/>
      <color rgb="FFFFFFCC"/>
      <color rgb="FFDDDDDD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R54"/>
  <sheetViews>
    <sheetView topLeftCell="AB1" zoomScale="125" zoomScaleNormal="125" zoomScalePageLayoutView="125" workbookViewId="0">
      <pane ySplit="1" topLeftCell="A25" activePane="bottomLeft" state="frozen"/>
      <selection activeCell="AF1" sqref="AF1"/>
      <selection pane="bottomLeft" activeCell="AM52" sqref="AM52"/>
    </sheetView>
  </sheetViews>
  <sheetFormatPr baseColWidth="10" defaultRowHeight="15" x14ac:dyDescent="0.25"/>
  <cols>
    <col min="1" max="1" width="7.85546875" customWidth="1"/>
    <col min="2" max="2" width="40" customWidth="1"/>
    <col min="3" max="3" width="11.85546875" style="105" customWidth="1"/>
    <col min="4" max="4" width="11.28515625" customWidth="1"/>
    <col min="5" max="5" width="11" customWidth="1"/>
    <col min="6" max="6" width="5.28515625" customWidth="1"/>
    <col min="7" max="7" width="8.42578125" customWidth="1"/>
    <col min="8" max="8" width="6.28515625" customWidth="1"/>
    <col min="9" max="10" width="11.42578125" customWidth="1"/>
    <col min="11" max="11" width="9.140625" customWidth="1"/>
    <col min="12" max="12" width="10.42578125" customWidth="1"/>
    <col min="13" max="13" width="12.42578125" customWidth="1"/>
    <col min="14" max="14" width="10.85546875" customWidth="1"/>
    <col min="15" max="18" width="11.42578125" customWidth="1"/>
    <col min="19" max="19" width="19" customWidth="1"/>
    <col min="20" max="21" width="11.42578125" customWidth="1"/>
    <col min="22" max="22" width="19" customWidth="1"/>
    <col min="23" max="24" width="11.42578125" customWidth="1"/>
    <col min="25" max="25" width="19" customWidth="1"/>
    <col min="26" max="27" width="11.42578125" customWidth="1"/>
    <col min="28" max="28" width="19" customWidth="1"/>
    <col min="29" max="30" width="11.42578125" customWidth="1"/>
    <col min="31" max="31" width="12.28515625" customWidth="1"/>
    <col min="32" max="34" width="11.42578125" customWidth="1"/>
    <col min="35" max="35" width="12.5703125" customWidth="1"/>
    <col min="36" max="37" width="11.42578125" customWidth="1"/>
    <col min="38" max="38" width="14.42578125" customWidth="1"/>
    <col min="39" max="39" width="11.7109375" customWidth="1"/>
    <col min="41" max="41" width="13" customWidth="1"/>
  </cols>
  <sheetData>
    <row r="1" spans="1:43" s="55" customFormat="1" ht="29.1" customHeight="1" x14ac:dyDescent="0.25">
      <c r="A1" s="52" t="s">
        <v>0</v>
      </c>
      <c r="B1" s="52" t="s">
        <v>139</v>
      </c>
      <c r="C1" s="64" t="s">
        <v>1</v>
      </c>
      <c r="D1" s="52" t="s">
        <v>115</v>
      </c>
      <c r="E1" s="52" t="s">
        <v>2</v>
      </c>
      <c r="F1" s="52" t="s">
        <v>3</v>
      </c>
      <c r="G1" s="52" t="s">
        <v>4</v>
      </c>
      <c r="H1" s="52" t="s">
        <v>5</v>
      </c>
      <c r="I1" s="52" t="s">
        <v>6</v>
      </c>
      <c r="J1" s="52" t="s">
        <v>7</v>
      </c>
      <c r="K1" s="52" t="s">
        <v>8</v>
      </c>
      <c r="L1" s="53" t="s">
        <v>125</v>
      </c>
      <c r="M1" s="53" t="s">
        <v>126</v>
      </c>
      <c r="N1" s="54" t="s">
        <v>127</v>
      </c>
      <c r="O1" s="56" t="s">
        <v>141</v>
      </c>
      <c r="P1" s="56" t="s">
        <v>233</v>
      </c>
      <c r="Q1" s="56" t="s">
        <v>143</v>
      </c>
      <c r="R1" s="53" t="s">
        <v>234</v>
      </c>
      <c r="S1" s="53" t="s">
        <v>235</v>
      </c>
      <c r="T1" s="54" t="s">
        <v>236</v>
      </c>
      <c r="U1" s="53" t="s">
        <v>289</v>
      </c>
      <c r="V1" s="53" t="s">
        <v>290</v>
      </c>
      <c r="W1" s="54" t="s">
        <v>291</v>
      </c>
      <c r="X1" s="53" t="s">
        <v>299</v>
      </c>
      <c r="Y1" s="53" t="s">
        <v>300</v>
      </c>
      <c r="Z1" s="54" t="s">
        <v>301</v>
      </c>
      <c r="AA1" s="53" t="s">
        <v>302</v>
      </c>
      <c r="AB1" s="53" t="s">
        <v>303</v>
      </c>
      <c r="AC1" s="54" t="s">
        <v>304</v>
      </c>
      <c r="AD1" s="53" t="s">
        <v>317</v>
      </c>
      <c r="AE1" s="53" t="s">
        <v>316</v>
      </c>
      <c r="AF1" s="54" t="s">
        <v>318</v>
      </c>
      <c r="AG1" s="53" t="s">
        <v>328</v>
      </c>
      <c r="AH1" s="53" t="s">
        <v>331</v>
      </c>
      <c r="AI1" s="53" t="s">
        <v>326</v>
      </c>
      <c r="AJ1" s="54" t="s">
        <v>327</v>
      </c>
      <c r="AK1" s="53" t="s">
        <v>332</v>
      </c>
      <c r="AL1" s="53" t="s">
        <v>333</v>
      </c>
      <c r="AM1" s="54" t="s">
        <v>334</v>
      </c>
      <c r="AN1" s="53" t="s">
        <v>336</v>
      </c>
      <c r="AO1" s="53" t="s">
        <v>337</v>
      </c>
      <c r="AP1" s="54" t="s">
        <v>338</v>
      </c>
      <c r="AQ1" s="55" t="s">
        <v>341</v>
      </c>
    </row>
    <row r="2" spans="1:43" s="63" customFormat="1" x14ac:dyDescent="0.25">
      <c r="A2" s="1" t="s">
        <v>14</v>
      </c>
      <c r="B2" s="1" t="s">
        <v>140</v>
      </c>
      <c r="C2" s="158">
        <v>1</v>
      </c>
      <c r="D2" s="4">
        <v>38786</v>
      </c>
      <c r="E2" s="5">
        <v>1144.22</v>
      </c>
      <c r="F2" s="10">
        <v>0.1</v>
      </c>
      <c r="G2" s="60">
        <v>1</v>
      </c>
      <c r="H2" s="58" t="s">
        <v>15</v>
      </c>
      <c r="I2" s="58" t="s">
        <v>16</v>
      </c>
      <c r="J2" s="58" t="s">
        <v>17</v>
      </c>
      <c r="K2" s="58" t="s">
        <v>18</v>
      </c>
      <c r="L2" s="61">
        <v>35.837999999999965</v>
      </c>
      <c r="M2" s="61">
        <v>1144.22</v>
      </c>
      <c r="N2" s="62">
        <f t="shared" ref="N2:N19" si="0">E2-M2</f>
        <v>0</v>
      </c>
      <c r="O2" s="62">
        <v>0</v>
      </c>
      <c r="P2" s="119">
        <f t="shared" ref="P2:P19" si="1">M2+O2</f>
        <v>1144.22</v>
      </c>
      <c r="Q2" s="119">
        <f t="shared" ref="Q2:Q19" si="2">E2-P2</f>
        <v>0</v>
      </c>
      <c r="S2" s="119">
        <f>P2</f>
        <v>1144.22</v>
      </c>
      <c r="T2" s="119">
        <f t="shared" ref="T2:T43" si="3">E2-S2</f>
        <v>0</v>
      </c>
      <c r="V2" s="62">
        <f>S2</f>
        <v>1144.22</v>
      </c>
      <c r="W2" s="62">
        <f>E2-V2</f>
        <v>0</v>
      </c>
      <c r="X2" s="62">
        <f>IF((E2*F2)&lt;W2,(E2*F2),W2)</f>
        <v>0</v>
      </c>
      <c r="Y2" s="62">
        <f>V2+X2</f>
        <v>1144.22</v>
      </c>
      <c r="Z2" s="62">
        <f>E2-Y2</f>
        <v>0</v>
      </c>
      <c r="AA2" s="62">
        <f>IF((E2*F2)&lt;Z2,(E2*F2),Z2)</f>
        <v>0</v>
      </c>
      <c r="AB2" s="62">
        <f>Y2+AA2</f>
        <v>1144.22</v>
      </c>
      <c r="AC2" s="62">
        <f>E2-AB2</f>
        <v>0</v>
      </c>
      <c r="AD2" s="62">
        <f>IF((E2*F2)&lt;AC2,(E2*F2),AC2)</f>
        <v>0</v>
      </c>
      <c r="AE2" s="62">
        <f>AB2+AD2</f>
        <v>1144.22</v>
      </c>
      <c r="AF2" s="62">
        <f>E2-AE2</f>
        <v>0</v>
      </c>
      <c r="AG2" s="62">
        <f>IF((E2*F2)&lt;AF2,(E2*F2),AF2)</f>
        <v>0</v>
      </c>
      <c r="AH2" s="62"/>
      <c r="AI2" s="62">
        <f>AE2+AG2</f>
        <v>1144.22</v>
      </c>
      <c r="AJ2" s="62">
        <f>E2-AI2</f>
        <v>0</v>
      </c>
      <c r="AK2" s="62">
        <f>IF((E2*F2)&lt;AJ2,(E2*F2),AJ2)</f>
        <v>0</v>
      </c>
      <c r="AL2" s="3">
        <f>AI2+AK2</f>
        <v>1144.22</v>
      </c>
      <c r="AM2" s="62">
        <f>E2-AL2</f>
        <v>0</v>
      </c>
      <c r="AN2" s="62">
        <f>IF((E2*F2)&lt;AM2,(E2*F2),AM2)</f>
        <v>0</v>
      </c>
      <c r="AO2" s="3">
        <f>AL2+AN2</f>
        <v>1144.22</v>
      </c>
      <c r="AP2" s="62">
        <f>E2-AO2</f>
        <v>0</v>
      </c>
      <c r="AQ2" s="147" t="s">
        <v>342</v>
      </c>
    </row>
    <row r="3" spans="1:43" x14ac:dyDescent="0.25">
      <c r="A3" s="1" t="s">
        <v>14</v>
      </c>
      <c r="B3" s="1" t="s">
        <v>142</v>
      </c>
      <c r="C3" s="158">
        <v>3</v>
      </c>
      <c r="D3" s="4">
        <v>39230</v>
      </c>
      <c r="E3" s="5">
        <v>756.24</v>
      </c>
      <c r="F3" s="10">
        <v>0.1</v>
      </c>
      <c r="G3" s="2">
        <v>1</v>
      </c>
      <c r="H3" s="1" t="s">
        <v>15</v>
      </c>
      <c r="I3" s="1" t="s">
        <v>16</v>
      </c>
      <c r="J3" s="1" t="s">
        <v>17</v>
      </c>
      <c r="K3" s="1" t="s">
        <v>23</v>
      </c>
      <c r="L3" s="43">
        <f t="shared" ref="L3:L17" si="4">E3*F3</f>
        <v>75.624000000000009</v>
      </c>
      <c r="M3" s="43">
        <v>715.88800000000003</v>
      </c>
      <c r="N3" s="3">
        <f t="shared" si="0"/>
        <v>40.351999999999975</v>
      </c>
      <c r="O3" s="3">
        <f>E3-M3</f>
        <v>40.351999999999975</v>
      </c>
      <c r="P3" s="12">
        <f t="shared" si="1"/>
        <v>756.24</v>
      </c>
      <c r="Q3" s="12">
        <f t="shared" si="2"/>
        <v>0</v>
      </c>
      <c r="S3" s="12">
        <f t="shared" ref="S3:S4" si="5">P3+R3</f>
        <v>756.24</v>
      </c>
      <c r="T3" s="12">
        <f t="shared" si="3"/>
        <v>0</v>
      </c>
      <c r="V3" s="62">
        <f>S3</f>
        <v>756.24</v>
      </c>
      <c r="W3" s="62">
        <f>E3-V3</f>
        <v>0</v>
      </c>
      <c r="X3" s="3">
        <f>IF((E3*F3)&lt;W3,(E3*F3),W3)</f>
        <v>0</v>
      </c>
      <c r="Y3" s="3">
        <f>V3+X3</f>
        <v>756.24</v>
      </c>
      <c r="Z3" s="3">
        <f>E3-Y3</f>
        <v>0</v>
      </c>
      <c r="AA3" s="3">
        <f>IF((E3*F3)&lt;Z3,(E3*F3),Z3)</f>
        <v>0</v>
      </c>
      <c r="AB3" s="3">
        <f>Y3+AA3</f>
        <v>756.24</v>
      </c>
      <c r="AC3" s="3">
        <f>E3-AB3</f>
        <v>0</v>
      </c>
      <c r="AD3" s="3">
        <f t="shared" ref="AD3:AD43" si="6">IF((E3*F3)&lt;AC3,(E3*F3),AC3)</f>
        <v>0</v>
      </c>
      <c r="AE3" s="3">
        <f t="shared" ref="AE3:AE43" si="7">AB3+AD3</f>
        <v>756.24</v>
      </c>
      <c r="AF3" s="3">
        <f t="shared" ref="AF3:AF43" si="8">E3-AE3</f>
        <v>0</v>
      </c>
      <c r="AG3" s="62">
        <f t="shared" ref="AG3:AG43" si="9">IF((E3*F3)&lt;AF3,(E3*F3),AF3)</f>
        <v>0</v>
      </c>
      <c r="AH3" s="62"/>
      <c r="AI3" s="3">
        <f t="shared" ref="AI3:AI43" si="10">AE3+AG3</f>
        <v>756.24</v>
      </c>
      <c r="AJ3" s="62">
        <f t="shared" ref="AJ3:AJ43" si="11">E3-AI3</f>
        <v>0</v>
      </c>
      <c r="AK3" s="62">
        <f t="shared" ref="AK3:AK43" si="12">IF((E3*F3)&lt;AJ3,(E3*F3),AJ3)</f>
        <v>0</v>
      </c>
      <c r="AL3" s="3">
        <f t="shared" ref="AL3:AL18" si="13">AI3+AK3</f>
        <v>756.24</v>
      </c>
      <c r="AM3" s="62">
        <f t="shared" ref="AM3:AM43" si="14">E3-AL3</f>
        <v>0</v>
      </c>
      <c r="AN3" s="62">
        <f t="shared" ref="AN3:AN38" si="15">IF((E3*F3)&lt;AM3,(E3*F3),AM3)</f>
        <v>0</v>
      </c>
      <c r="AO3" s="3">
        <f t="shared" ref="AO3:AO43" si="16">AL3+AN3</f>
        <v>756.24</v>
      </c>
      <c r="AP3" s="62">
        <f t="shared" ref="AP3:AP43" si="17">E3-AO3</f>
        <v>0</v>
      </c>
      <c r="AQ3" s="147" t="s">
        <v>342</v>
      </c>
    </row>
    <row r="4" spans="1:43" x14ac:dyDescent="0.25">
      <c r="A4" s="1" t="s">
        <v>14</v>
      </c>
      <c r="B4" s="1" t="s">
        <v>144</v>
      </c>
      <c r="C4" s="158">
        <v>28</v>
      </c>
      <c r="D4" s="4">
        <v>39904</v>
      </c>
      <c r="E4" s="5">
        <v>2241.38</v>
      </c>
      <c r="F4" s="10">
        <v>0.1</v>
      </c>
      <c r="G4" s="2">
        <v>1</v>
      </c>
      <c r="H4" s="1" t="s">
        <v>15</v>
      </c>
      <c r="I4" s="1" t="s">
        <v>16</v>
      </c>
      <c r="J4" s="1" t="s">
        <v>17</v>
      </c>
      <c r="K4" s="1" t="s">
        <v>18</v>
      </c>
      <c r="L4" s="43">
        <f t="shared" si="4"/>
        <v>224.13800000000003</v>
      </c>
      <c r="M4" s="43">
        <v>1722.1860000000001</v>
      </c>
      <c r="N4" s="3">
        <f t="shared" si="0"/>
        <v>519.19399999999996</v>
      </c>
      <c r="O4" s="3">
        <f t="shared" ref="O4:O19" si="18">E4*F4</f>
        <v>224.13800000000003</v>
      </c>
      <c r="P4" s="3">
        <f t="shared" si="1"/>
        <v>1946.3240000000001</v>
      </c>
      <c r="Q4" s="3">
        <f t="shared" si="2"/>
        <v>295.05600000000004</v>
      </c>
      <c r="R4" s="3">
        <f t="shared" ref="R4:R19" si="19">E4*F4</f>
        <v>224.13800000000003</v>
      </c>
      <c r="S4" s="3">
        <f t="shared" si="5"/>
        <v>2170.462</v>
      </c>
      <c r="T4" s="3">
        <f t="shared" si="3"/>
        <v>70.91800000000012</v>
      </c>
      <c r="U4" s="3">
        <f>IF((E4*F4)&lt;T4,(E4*F4),T4)</f>
        <v>70.91800000000012</v>
      </c>
      <c r="V4" s="3">
        <f>SUM(S4,U4)</f>
        <v>2241.38</v>
      </c>
      <c r="W4" s="3">
        <f>E4-V4</f>
        <v>0</v>
      </c>
      <c r="X4" s="3">
        <f t="shared" ref="X4:X43" si="20">IF((E4*F4)&lt;W4,(E4*F4),W4)</f>
        <v>0</v>
      </c>
      <c r="Y4" s="3">
        <f t="shared" ref="Y4:Y43" si="21">V4+X4</f>
        <v>2241.38</v>
      </c>
      <c r="Z4" s="3">
        <f t="shared" ref="Z4:Z43" si="22">E4-Y4</f>
        <v>0</v>
      </c>
      <c r="AA4" s="3">
        <f t="shared" ref="AA4:AA43" si="23">IF((E4*F4)&lt;Z4,(E4*F4),Z4)</f>
        <v>0</v>
      </c>
      <c r="AB4" s="3">
        <f t="shared" ref="AB4:AB14" si="24">Y4+AA4</f>
        <v>2241.38</v>
      </c>
      <c r="AC4" s="3">
        <f t="shared" ref="AC4:AC43" si="25">E4-AB4</f>
        <v>0</v>
      </c>
      <c r="AD4" s="3">
        <f t="shared" si="6"/>
        <v>0</v>
      </c>
      <c r="AE4" s="3">
        <f t="shared" si="7"/>
        <v>2241.38</v>
      </c>
      <c r="AF4" s="3">
        <f t="shared" si="8"/>
        <v>0</v>
      </c>
      <c r="AG4" s="62">
        <f t="shared" si="9"/>
        <v>0</v>
      </c>
      <c r="AH4" s="62"/>
      <c r="AI4" s="3">
        <f t="shared" si="10"/>
        <v>2241.38</v>
      </c>
      <c r="AJ4" s="62">
        <f t="shared" si="11"/>
        <v>0</v>
      </c>
      <c r="AK4" s="62">
        <f t="shared" si="12"/>
        <v>0</v>
      </c>
      <c r="AL4" s="3">
        <f t="shared" si="13"/>
        <v>2241.38</v>
      </c>
      <c r="AM4" s="62">
        <f t="shared" si="14"/>
        <v>0</v>
      </c>
      <c r="AN4" s="62">
        <f t="shared" si="15"/>
        <v>0</v>
      </c>
      <c r="AO4" s="3">
        <f t="shared" si="16"/>
        <v>2241.38</v>
      </c>
      <c r="AP4" s="62">
        <f t="shared" si="17"/>
        <v>0</v>
      </c>
      <c r="AQ4" s="147" t="s">
        <v>342</v>
      </c>
    </row>
    <row r="5" spans="1:43" x14ac:dyDescent="0.25">
      <c r="A5" s="1" t="s">
        <v>14</v>
      </c>
      <c r="B5" s="1" t="s">
        <v>145</v>
      </c>
      <c r="C5" s="158">
        <v>30</v>
      </c>
      <c r="D5" s="4">
        <v>40058</v>
      </c>
      <c r="E5" s="5">
        <v>353</v>
      </c>
      <c r="F5" s="10">
        <v>0.1</v>
      </c>
      <c r="G5" s="2">
        <v>1</v>
      </c>
      <c r="H5" s="1" t="s">
        <v>15</v>
      </c>
      <c r="I5" s="1" t="s">
        <v>16</v>
      </c>
      <c r="J5" s="1" t="s">
        <v>17</v>
      </c>
      <c r="K5" s="1" t="s">
        <v>36</v>
      </c>
      <c r="L5" s="43">
        <f t="shared" si="4"/>
        <v>35.300000000000004</v>
      </c>
      <c r="M5" s="43">
        <v>256.2</v>
      </c>
      <c r="N5" s="3">
        <f t="shared" si="0"/>
        <v>96.800000000000011</v>
      </c>
      <c r="O5" s="3">
        <f t="shared" si="18"/>
        <v>35.300000000000004</v>
      </c>
      <c r="P5" s="3">
        <f t="shared" si="1"/>
        <v>291.5</v>
      </c>
      <c r="Q5" s="3">
        <f t="shared" si="2"/>
        <v>61.5</v>
      </c>
      <c r="R5" s="3">
        <f t="shared" si="19"/>
        <v>35.300000000000004</v>
      </c>
      <c r="S5" s="3">
        <f t="shared" ref="S5:S43" si="26">P5+R5</f>
        <v>326.8</v>
      </c>
      <c r="T5" s="3">
        <f t="shared" si="3"/>
        <v>26.199999999999989</v>
      </c>
      <c r="U5" s="3">
        <f t="shared" ref="U5:U43" si="27">IF((E5*F5)&lt;T5,(E5*F5),T5)</f>
        <v>26.199999999999989</v>
      </c>
      <c r="V5" s="3">
        <f t="shared" ref="V5:V43" si="28">SUM(S5,U5)</f>
        <v>353</v>
      </c>
      <c r="W5" s="3">
        <f t="shared" ref="W5:W43" si="29">E5-V5</f>
        <v>0</v>
      </c>
      <c r="X5" s="3">
        <f t="shared" si="20"/>
        <v>0</v>
      </c>
      <c r="Y5" s="3">
        <f t="shared" si="21"/>
        <v>353</v>
      </c>
      <c r="Z5" s="3">
        <f t="shared" si="22"/>
        <v>0</v>
      </c>
      <c r="AA5" s="3">
        <f t="shared" si="23"/>
        <v>0</v>
      </c>
      <c r="AB5" s="3">
        <f t="shared" si="24"/>
        <v>353</v>
      </c>
      <c r="AC5" s="3">
        <f t="shared" si="25"/>
        <v>0</v>
      </c>
      <c r="AD5" s="3">
        <f t="shared" si="6"/>
        <v>0</v>
      </c>
      <c r="AE5" s="3">
        <f t="shared" si="7"/>
        <v>353</v>
      </c>
      <c r="AF5" s="3">
        <f t="shared" si="8"/>
        <v>0</v>
      </c>
      <c r="AG5" s="62">
        <f t="shared" si="9"/>
        <v>0</v>
      </c>
      <c r="AH5" s="62"/>
      <c r="AI5" s="3">
        <f t="shared" si="10"/>
        <v>353</v>
      </c>
      <c r="AJ5" s="62">
        <f t="shared" si="11"/>
        <v>0</v>
      </c>
      <c r="AK5" s="62">
        <f t="shared" si="12"/>
        <v>0</v>
      </c>
      <c r="AL5" s="3">
        <f t="shared" si="13"/>
        <v>353</v>
      </c>
      <c r="AM5" s="62">
        <f t="shared" si="14"/>
        <v>0</v>
      </c>
      <c r="AN5" s="62">
        <f t="shared" si="15"/>
        <v>0</v>
      </c>
      <c r="AO5" s="3">
        <f t="shared" si="16"/>
        <v>353</v>
      </c>
      <c r="AP5" s="62">
        <f t="shared" si="17"/>
        <v>0</v>
      </c>
      <c r="AQ5" s="147" t="s">
        <v>342</v>
      </c>
    </row>
    <row r="6" spans="1:43" x14ac:dyDescent="0.25">
      <c r="A6" s="1" t="s">
        <v>14</v>
      </c>
      <c r="B6" s="1" t="s">
        <v>146</v>
      </c>
      <c r="C6" s="158">
        <v>31</v>
      </c>
      <c r="D6" s="4">
        <v>40269</v>
      </c>
      <c r="E6" s="5">
        <v>960.05</v>
      </c>
      <c r="F6" s="10">
        <v>0.1</v>
      </c>
      <c r="G6" s="2">
        <v>1</v>
      </c>
      <c r="H6" s="1" t="s">
        <v>15</v>
      </c>
      <c r="I6" s="1" t="s">
        <v>16</v>
      </c>
      <c r="J6" s="1" t="s">
        <v>17</v>
      </c>
      <c r="K6" s="1" t="s">
        <v>18</v>
      </c>
      <c r="L6" s="43">
        <f t="shared" si="4"/>
        <v>96.004999999999995</v>
      </c>
      <c r="M6" s="43">
        <v>639.73</v>
      </c>
      <c r="N6" s="3">
        <f t="shared" si="0"/>
        <v>320.31999999999994</v>
      </c>
      <c r="O6" s="3">
        <f t="shared" si="18"/>
        <v>96.004999999999995</v>
      </c>
      <c r="P6" s="3">
        <f t="shared" si="1"/>
        <v>735.73500000000001</v>
      </c>
      <c r="Q6" s="3">
        <f t="shared" si="2"/>
        <v>224.31499999999994</v>
      </c>
      <c r="R6" s="3">
        <f t="shared" si="19"/>
        <v>96.004999999999995</v>
      </c>
      <c r="S6" s="3">
        <f t="shared" si="26"/>
        <v>831.74</v>
      </c>
      <c r="T6" s="3">
        <f t="shared" si="3"/>
        <v>128.30999999999995</v>
      </c>
      <c r="U6" s="3">
        <f t="shared" si="27"/>
        <v>96.004999999999995</v>
      </c>
      <c r="V6" s="3">
        <f t="shared" si="28"/>
        <v>927.745</v>
      </c>
      <c r="W6" s="3">
        <f t="shared" si="29"/>
        <v>32.30499999999995</v>
      </c>
      <c r="X6" s="3">
        <f t="shared" si="20"/>
        <v>32.30499999999995</v>
      </c>
      <c r="Y6" s="3">
        <f t="shared" si="21"/>
        <v>960.05</v>
      </c>
      <c r="Z6" s="3">
        <f t="shared" si="22"/>
        <v>0</v>
      </c>
      <c r="AA6" s="3">
        <f t="shared" si="23"/>
        <v>0</v>
      </c>
      <c r="AB6" s="3">
        <f t="shared" si="24"/>
        <v>960.05</v>
      </c>
      <c r="AC6" s="3">
        <f t="shared" si="25"/>
        <v>0</v>
      </c>
      <c r="AD6" s="3">
        <f t="shared" si="6"/>
        <v>0</v>
      </c>
      <c r="AE6" s="3">
        <f t="shared" si="7"/>
        <v>960.05</v>
      </c>
      <c r="AF6" s="3">
        <f t="shared" si="8"/>
        <v>0</v>
      </c>
      <c r="AG6" s="62">
        <f t="shared" si="9"/>
        <v>0</v>
      </c>
      <c r="AH6" s="62"/>
      <c r="AI6" s="3">
        <f t="shared" si="10"/>
        <v>960.05</v>
      </c>
      <c r="AJ6" s="62">
        <f t="shared" si="11"/>
        <v>0</v>
      </c>
      <c r="AK6" s="62">
        <f t="shared" si="12"/>
        <v>0</v>
      </c>
      <c r="AL6" s="3">
        <f t="shared" si="13"/>
        <v>960.05</v>
      </c>
      <c r="AM6" s="62">
        <f t="shared" si="14"/>
        <v>0</v>
      </c>
      <c r="AN6" s="62">
        <f t="shared" si="15"/>
        <v>0</v>
      </c>
      <c r="AO6" s="3">
        <f t="shared" si="16"/>
        <v>960.05</v>
      </c>
      <c r="AP6" s="62">
        <f t="shared" si="17"/>
        <v>0</v>
      </c>
      <c r="AQ6" s="147" t="s">
        <v>342</v>
      </c>
    </row>
    <row r="7" spans="1:43" x14ac:dyDescent="0.25">
      <c r="A7" s="1" t="s">
        <v>14</v>
      </c>
      <c r="B7" s="1" t="s">
        <v>146</v>
      </c>
      <c r="C7" s="158">
        <v>34</v>
      </c>
      <c r="D7" s="4">
        <v>40560</v>
      </c>
      <c r="E7" s="5">
        <v>466.1</v>
      </c>
      <c r="F7" s="10">
        <v>0.1</v>
      </c>
      <c r="G7" s="2">
        <v>1</v>
      </c>
      <c r="H7" s="1" t="s">
        <v>15</v>
      </c>
      <c r="I7" s="1" t="s">
        <v>16</v>
      </c>
      <c r="J7" s="1" t="s">
        <v>17</v>
      </c>
      <c r="K7" s="1" t="s">
        <v>18</v>
      </c>
      <c r="L7" s="43">
        <f t="shared" si="4"/>
        <v>46.610000000000007</v>
      </c>
      <c r="M7" s="43">
        <v>273.21000000000004</v>
      </c>
      <c r="N7" s="3">
        <f t="shared" si="0"/>
        <v>192.89</v>
      </c>
      <c r="O7" s="3">
        <f t="shared" si="18"/>
        <v>46.610000000000007</v>
      </c>
      <c r="P7" s="3">
        <f t="shared" si="1"/>
        <v>319.82000000000005</v>
      </c>
      <c r="Q7" s="3">
        <f t="shared" si="2"/>
        <v>146.27999999999997</v>
      </c>
      <c r="R7" s="3">
        <f t="shared" si="19"/>
        <v>46.610000000000007</v>
      </c>
      <c r="S7" s="3">
        <f t="shared" si="26"/>
        <v>366.43000000000006</v>
      </c>
      <c r="T7" s="3">
        <f t="shared" si="3"/>
        <v>99.669999999999959</v>
      </c>
      <c r="U7" s="3">
        <f t="shared" si="27"/>
        <v>46.610000000000007</v>
      </c>
      <c r="V7" s="3">
        <f t="shared" si="28"/>
        <v>413.04000000000008</v>
      </c>
      <c r="W7" s="3">
        <f t="shared" si="29"/>
        <v>53.059999999999945</v>
      </c>
      <c r="X7" s="3">
        <f t="shared" si="20"/>
        <v>46.610000000000007</v>
      </c>
      <c r="Y7" s="3">
        <f t="shared" si="21"/>
        <v>459.65000000000009</v>
      </c>
      <c r="Z7" s="3">
        <f t="shared" si="22"/>
        <v>6.4499999999999318</v>
      </c>
      <c r="AA7" s="3">
        <f t="shared" si="23"/>
        <v>6.4499999999999318</v>
      </c>
      <c r="AB7" s="3">
        <f t="shared" si="24"/>
        <v>466.1</v>
      </c>
      <c r="AC7" s="3">
        <f t="shared" si="25"/>
        <v>0</v>
      </c>
      <c r="AD7" s="3">
        <f t="shared" si="6"/>
        <v>0</v>
      </c>
      <c r="AE7" s="3">
        <f t="shared" si="7"/>
        <v>466.1</v>
      </c>
      <c r="AF7" s="3">
        <f t="shared" si="8"/>
        <v>0</v>
      </c>
      <c r="AG7" s="62">
        <f t="shared" si="9"/>
        <v>0</v>
      </c>
      <c r="AH7" s="62"/>
      <c r="AI7" s="3">
        <f t="shared" si="10"/>
        <v>466.1</v>
      </c>
      <c r="AJ7" s="62">
        <f t="shared" si="11"/>
        <v>0</v>
      </c>
      <c r="AK7" s="62">
        <f t="shared" si="12"/>
        <v>0</v>
      </c>
      <c r="AL7" s="3">
        <f t="shared" si="13"/>
        <v>466.1</v>
      </c>
      <c r="AM7" s="62">
        <f t="shared" si="14"/>
        <v>0</v>
      </c>
      <c r="AN7" s="62">
        <f t="shared" si="15"/>
        <v>0</v>
      </c>
      <c r="AO7" s="3">
        <f t="shared" si="16"/>
        <v>466.1</v>
      </c>
      <c r="AP7" s="62">
        <f t="shared" si="17"/>
        <v>0</v>
      </c>
      <c r="AQ7" s="147" t="s">
        <v>342</v>
      </c>
    </row>
    <row r="8" spans="1:43" x14ac:dyDescent="0.25">
      <c r="A8" s="1" t="s">
        <v>14</v>
      </c>
      <c r="B8" s="1" t="s">
        <v>146</v>
      </c>
      <c r="C8" s="158">
        <v>35</v>
      </c>
      <c r="D8" s="4">
        <v>40585</v>
      </c>
      <c r="E8" s="5">
        <v>1724.59</v>
      </c>
      <c r="F8" s="10">
        <v>0.1</v>
      </c>
      <c r="G8" s="2">
        <v>1</v>
      </c>
      <c r="H8" s="1" t="s">
        <v>15</v>
      </c>
      <c r="I8" s="1" t="s">
        <v>16</v>
      </c>
      <c r="J8" s="1" t="s">
        <v>17</v>
      </c>
      <c r="K8" s="1" t="s">
        <v>18</v>
      </c>
      <c r="L8" s="43">
        <f t="shared" si="4"/>
        <v>172.459</v>
      </c>
      <c r="M8" s="43">
        <v>998.41800000000012</v>
      </c>
      <c r="N8" s="3">
        <f t="shared" si="0"/>
        <v>726.1719999999998</v>
      </c>
      <c r="O8" s="3">
        <f t="shared" si="18"/>
        <v>172.459</v>
      </c>
      <c r="P8" s="3">
        <f t="shared" si="1"/>
        <v>1170.8770000000002</v>
      </c>
      <c r="Q8" s="3">
        <f t="shared" si="2"/>
        <v>553.71299999999974</v>
      </c>
      <c r="R8" s="3">
        <f t="shared" si="19"/>
        <v>172.459</v>
      </c>
      <c r="S8" s="3">
        <f t="shared" si="26"/>
        <v>1343.3360000000002</v>
      </c>
      <c r="T8" s="3">
        <f t="shared" si="3"/>
        <v>381.25399999999968</v>
      </c>
      <c r="U8" s="3">
        <f t="shared" si="27"/>
        <v>172.459</v>
      </c>
      <c r="V8" s="3">
        <f t="shared" si="28"/>
        <v>1515.7950000000003</v>
      </c>
      <c r="W8" s="3">
        <f t="shared" si="29"/>
        <v>208.79499999999962</v>
      </c>
      <c r="X8" s="3">
        <f t="shared" si="20"/>
        <v>172.459</v>
      </c>
      <c r="Y8" s="3">
        <f t="shared" si="21"/>
        <v>1688.2540000000004</v>
      </c>
      <c r="Z8" s="3">
        <f t="shared" si="22"/>
        <v>36.335999999999558</v>
      </c>
      <c r="AA8" s="3">
        <f t="shared" si="23"/>
        <v>36.335999999999558</v>
      </c>
      <c r="AB8" s="3">
        <f t="shared" si="24"/>
        <v>1724.59</v>
      </c>
      <c r="AC8" s="3">
        <f t="shared" si="25"/>
        <v>0</v>
      </c>
      <c r="AD8" s="3">
        <f t="shared" si="6"/>
        <v>0</v>
      </c>
      <c r="AE8" s="3">
        <f t="shared" si="7"/>
        <v>1724.59</v>
      </c>
      <c r="AF8" s="3">
        <f t="shared" si="8"/>
        <v>0</v>
      </c>
      <c r="AG8" s="62">
        <f t="shared" si="9"/>
        <v>0</v>
      </c>
      <c r="AH8" s="62"/>
      <c r="AI8" s="3">
        <f t="shared" si="10"/>
        <v>1724.59</v>
      </c>
      <c r="AJ8" s="62">
        <f t="shared" si="11"/>
        <v>0</v>
      </c>
      <c r="AK8" s="62">
        <f t="shared" si="12"/>
        <v>0</v>
      </c>
      <c r="AL8" s="3">
        <f t="shared" si="13"/>
        <v>1724.59</v>
      </c>
      <c r="AM8" s="62">
        <f t="shared" si="14"/>
        <v>0</v>
      </c>
      <c r="AN8" s="62">
        <f t="shared" si="15"/>
        <v>0</v>
      </c>
      <c r="AO8" s="3">
        <f t="shared" si="16"/>
        <v>1724.59</v>
      </c>
      <c r="AP8" s="62">
        <f t="shared" si="17"/>
        <v>0</v>
      </c>
      <c r="AQ8" s="147" t="s">
        <v>342</v>
      </c>
    </row>
    <row r="9" spans="1:43" x14ac:dyDescent="0.25">
      <c r="A9" s="1" t="s">
        <v>14</v>
      </c>
      <c r="B9" s="1" t="s">
        <v>147</v>
      </c>
      <c r="C9" s="158">
        <v>36</v>
      </c>
      <c r="D9" s="4">
        <v>40598</v>
      </c>
      <c r="E9" s="5">
        <v>1300</v>
      </c>
      <c r="F9" s="10">
        <v>0.1</v>
      </c>
      <c r="G9" s="2">
        <v>1</v>
      </c>
      <c r="H9" s="1" t="s">
        <v>15</v>
      </c>
      <c r="I9" s="1" t="s">
        <v>16</v>
      </c>
      <c r="J9" s="1" t="s">
        <v>17</v>
      </c>
      <c r="K9" s="1" t="s">
        <v>18</v>
      </c>
      <c r="L9" s="43">
        <f t="shared" si="4"/>
        <v>130</v>
      </c>
      <c r="M9" s="43">
        <v>747.98</v>
      </c>
      <c r="N9" s="3">
        <f t="shared" si="0"/>
        <v>552.02</v>
      </c>
      <c r="O9" s="3">
        <f t="shared" si="18"/>
        <v>130</v>
      </c>
      <c r="P9" s="3">
        <f t="shared" si="1"/>
        <v>877.98</v>
      </c>
      <c r="Q9" s="3">
        <f t="shared" si="2"/>
        <v>422.02</v>
      </c>
      <c r="R9" s="3">
        <f t="shared" si="19"/>
        <v>130</v>
      </c>
      <c r="S9" s="3">
        <f t="shared" si="26"/>
        <v>1007.98</v>
      </c>
      <c r="T9" s="3">
        <f t="shared" si="3"/>
        <v>292.02</v>
      </c>
      <c r="U9" s="3">
        <f t="shared" si="27"/>
        <v>130</v>
      </c>
      <c r="V9" s="3">
        <f t="shared" si="28"/>
        <v>1137.98</v>
      </c>
      <c r="W9" s="3">
        <f t="shared" si="29"/>
        <v>162.01999999999998</v>
      </c>
      <c r="X9" s="3">
        <f t="shared" si="20"/>
        <v>130</v>
      </c>
      <c r="Y9" s="3">
        <f t="shared" si="21"/>
        <v>1267.98</v>
      </c>
      <c r="Z9" s="3">
        <f t="shared" si="22"/>
        <v>32.019999999999982</v>
      </c>
      <c r="AA9" s="3">
        <f t="shared" si="23"/>
        <v>32.019999999999982</v>
      </c>
      <c r="AB9" s="3">
        <f t="shared" si="24"/>
        <v>1300</v>
      </c>
      <c r="AC9" s="3">
        <f t="shared" si="25"/>
        <v>0</v>
      </c>
      <c r="AD9" s="3">
        <f t="shared" si="6"/>
        <v>0</v>
      </c>
      <c r="AE9" s="3">
        <f t="shared" si="7"/>
        <v>1300</v>
      </c>
      <c r="AF9" s="3">
        <f t="shared" si="8"/>
        <v>0</v>
      </c>
      <c r="AG9" s="62">
        <f t="shared" si="9"/>
        <v>0</v>
      </c>
      <c r="AH9" s="62"/>
      <c r="AI9" s="3">
        <f t="shared" si="10"/>
        <v>1300</v>
      </c>
      <c r="AJ9" s="62">
        <f t="shared" si="11"/>
        <v>0</v>
      </c>
      <c r="AK9" s="62">
        <f t="shared" si="12"/>
        <v>0</v>
      </c>
      <c r="AL9" s="3">
        <f t="shared" si="13"/>
        <v>1300</v>
      </c>
      <c r="AM9" s="62">
        <f t="shared" si="14"/>
        <v>0</v>
      </c>
      <c r="AN9" s="62">
        <f t="shared" si="15"/>
        <v>0</v>
      </c>
      <c r="AO9" s="3">
        <f t="shared" si="16"/>
        <v>1300</v>
      </c>
      <c r="AP9" s="62">
        <f t="shared" si="17"/>
        <v>0</v>
      </c>
      <c r="AQ9" s="147" t="s">
        <v>342</v>
      </c>
    </row>
    <row r="10" spans="1:43" x14ac:dyDescent="0.25">
      <c r="A10" s="1" t="s">
        <v>14</v>
      </c>
      <c r="B10" s="1" t="s">
        <v>146</v>
      </c>
      <c r="C10" s="158">
        <v>40</v>
      </c>
      <c r="D10" s="4">
        <v>40715</v>
      </c>
      <c r="E10" s="5">
        <v>531.1</v>
      </c>
      <c r="F10" s="10">
        <v>0.1</v>
      </c>
      <c r="G10" s="2">
        <v>1</v>
      </c>
      <c r="H10" s="1" t="s">
        <v>15</v>
      </c>
      <c r="I10" s="1" t="s">
        <v>16</v>
      </c>
      <c r="J10" s="1" t="s">
        <v>17</v>
      </c>
      <c r="K10" s="1" t="s">
        <v>18</v>
      </c>
      <c r="L10" s="43">
        <f t="shared" si="4"/>
        <v>53.110000000000007</v>
      </c>
      <c r="M10" s="43">
        <v>288.3</v>
      </c>
      <c r="N10" s="3">
        <f t="shared" si="0"/>
        <v>242.8</v>
      </c>
      <c r="O10" s="3">
        <f t="shared" si="18"/>
        <v>53.110000000000007</v>
      </c>
      <c r="P10" s="3">
        <f t="shared" si="1"/>
        <v>341.41</v>
      </c>
      <c r="Q10" s="3">
        <f t="shared" si="2"/>
        <v>189.69</v>
      </c>
      <c r="R10" s="3">
        <f t="shared" si="19"/>
        <v>53.110000000000007</v>
      </c>
      <c r="S10" s="3">
        <f t="shared" si="26"/>
        <v>394.52000000000004</v>
      </c>
      <c r="T10" s="3">
        <f t="shared" si="3"/>
        <v>136.57999999999998</v>
      </c>
      <c r="U10" s="3">
        <f t="shared" si="27"/>
        <v>53.110000000000007</v>
      </c>
      <c r="V10" s="3">
        <f t="shared" si="28"/>
        <v>447.63000000000005</v>
      </c>
      <c r="W10" s="3">
        <f t="shared" si="29"/>
        <v>83.46999999999997</v>
      </c>
      <c r="X10" s="3">
        <f t="shared" si="20"/>
        <v>53.110000000000007</v>
      </c>
      <c r="Y10" s="3">
        <f t="shared" si="21"/>
        <v>500.74000000000007</v>
      </c>
      <c r="Z10" s="3">
        <f t="shared" si="22"/>
        <v>30.359999999999957</v>
      </c>
      <c r="AA10" s="3">
        <f t="shared" si="23"/>
        <v>30.359999999999957</v>
      </c>
      <c r="AB10" s="3">
        <f t="shared" si="24"/>
        <v>531.1</v>
      </c>
      <c r="AC10" s="3">
        <f t="shared" si="25"/>
        <v>0</v>
      </c>
      <c r="AD10" s="3">
        <f t="shared" si="6"/>
        <v>0</v>
      </c>
      <c r="AE10" s="3">
        <f t="shared" si="7"/>
        <v>531.1</v>
      </c>
      <c r="AF10" s="3">
        <f t="shared" si="8"/>
        <v>0</v>
      </c>
      <c r="AG10" s="62">
        <f t="shared" si="9"/>
        <v>0</v>
      </c>
      <c r="AH10" s="62"/>
      <c r="AI10" s="3">
        <f t="shared" si="10"/>
        <v>531.1</v>
      </c>
      <c r="AJ10" s="62">
        <f t="shared" si="11"/>
        <v>0</v>
      </c>
      <c r="AK10" s="62">
        <f t="shared" si="12"/>
        <v>0</v>
      </c>
      <c r="AL10" s="3">
        <f t="shared" si="13"/>
        <v>531.1</v>
      </c>
      <c r="AM10" s="62">
        <f t="shared" si="14"/>
        <v>0</v>
      </c>
      <c r="AN10" s="62">
        <f t="shared" si="15"/>
        <v>0</v>
      </c>
      <c r="AO10" s="3">
        <f t="shared" si="16"/>
        <v>531.1</v>
      </c>
      <c r="AP10" s="62">
        <f t="shared" si="17"/>
        <v>0</v>
      </c>
      <c r="AQ10" s="147" t="s">
        <v>342</v>
      </c>
    </row>
    <row r="11" spans="1:43" x14ac:dyDescent="0.25">
      <c r="A11" s="1" t="s">
        <v>14</v>
      </c>
      <c r="B11" s="1" t="s">
        <v>147</v>
      </c>
      <c r="C11" s="158">
        <v>51</v>
      </c>
      <c r="D11" s="4">
        <v>40896</v>
      </c>
      <c r="E11" s="5">
        <v>490</v>
      </c>
      <c r="F11" s="10">
        <v>0.1</v>
      </c>
      <c r="G11" s="2">
        <v>1</v>
      </c>
      <c r="H11" s="1" t="s">
        <v>15</v>
      </c>
      <c r="I11" s="1" t="s">
        <v>16</v>
      </c>
      <c r="J11" s="1" t="s">
        <v>17</v>
      </c>
      <c r="K11" s="1" t="s">
        <v>18</v>
      </c>
      <c r="L11" s="43">
        <f t="shared" si="4"/>
        <v>49</v>
      </c>
      <c r="M11" s="43">
        <v>241.09</v>
      </c>
      <c r="N11" s="3">
        <f t="shared" si="0"/>
        <v>248.91</v>
      </c>
      <c r="O11" s="3">
        <f t="shared" si="18"/>
        <v>49</v>
      </c>
      <c r="P11" s="3">
        <f t="shared" si="1"/>
        <v>290.09000000000003</v>
      </c>
      <c r="Q11" s="3">
        <f t="shared" si="2"/>
        <v>199.90999999999997</v>
      </c>
      <c r="R11" s="3">
        <f t="shared" si="19"/>
        <v>49</v>
      </c>
      <c r="S11" s="3">
        <f t="shared" si="26"/>
        <v>339.09000000000003</v>
      </c>
      <c r="T11" s="3">
        <f t="shared" si="3"/>
        <v>150.90999999999997</v>
      </c>
      <c r="U11" s="3">
        <f t="shared" si="27"/>
        <v>49</v>
      </c>
      <c r="V11" s="3">
        <f t="shared" si="28"/>
        <v>388.09000000000003</v>
      </c>
      <c r="W11" s="3">
        <f t="shared" si="29"/>
        <v>101.90999999999997</v>
      </c>
      <c r="X11" s="3">
        <f t="shared" si="20"/>
        <v>49</v>
      </c>
      <c r="Y11" s="3">
        <f t="shared" si="21"/>
        <v>437.09000000000003</v>
      </c>
      <c r="Z11" s="3">
        <f t="shared" si="22"/>
        <v>52.909999999999968</v>
      </c>
      <c r="AA11" s="3">
        <f t="shared" si="23"/>
        <v>49</v>
      </c>
      <c r="AB11" s="3">
        <f t="shared" si="24"/>
        <v>486.09000000000003</v>
      </c>
      <c r="AC11" s="3">
        <f t="shared" si="25"/>
        <v>3.9099999999999682</v>
      </c>
      <c r="AD11" s="3">
        <f t="shared" si="6"/>
        <v>3.9099999999999682</v>
      </c>
      <c r="AE11" s="3">
        <f t="shared" si="7"/>
        <v>490</v>
      </c>
      <c r="AF11" s="3">
        <f t="shared" si="8"/>
        <v>0</v>
      </c>
      <c r="AG11" s="62">
        <f t="shared" si="9"/>
        <v>0</v>
      </c>
      <c r="AH11" s="62"/>
      <c r="AI11" s="3">
        <f t="shared" si="10"/>
        <v>490</v>
      </c>
      <c r="AJ11" s="62">
        <f t="shared" si="11"/>
        <v>0</v>
      </c>
      <c r="AK11" s="62">
        <f t="shared" si="12"/>
        <v>0</v>
      </c>
      <c r="AL11" s="3">
        <f t="shared" si="13"/>
        <v>490</v>
      </c>
      <c r="AM11" s="62">
        <f t="shared" si="14"/>
        <v>0</v>
      </c>
      <c r="AN11" s="62">
        <f t="shared" si="15"/>
        <v>0</v>
      </c>
      <c r="AO11" s="3">
        <f t="shared" si="16"/>
        <v>490</v>
      </c>
      <c r="AP11" s="62">
        <f t="shared" si="17"/>
        <v>0</v>
      </c>
      <c r="AQ11" s="147" t="s">
        <v>342</v>
      </c>
    </row>
    <row r="12" spans="1:43" x14ac:dyDescent="0.25">
      <c r="A12" s="1" t="s">
        <v>14</v>
      </c>
      <c r="B12" s="1" t="s">
        <v>148</v>
      </c>
      <c r="C12" s="158">
        <v>52</v>
      </c>
      <c r="D12" s="4">
        <v>41011</v>
      </c>
      <c r="E12" s="5">
        <v>195</v>
      </c>
      <c r="F12" s="10">
        <v>0.1</v>
      </c>
      <c r="G12" s="2">
        <v>1</v>
      </c>
      <c r="H12" s="1" t="s">
        <v>15</v>
      </c>
      <c r="I12" s="1" t="s">
        <v>16</v>
      </c>
      <c r="J12" s="1" t="s">
        <v>17</v>
      </c>
      <c r="K12" s="1" t="s">
        <v>36</v>
      </c>
      <c r="L12" s="43">
        <f t="shared" si="4"/>
        <v>19.5</v>
      </c>
      <c r="M12" s="43">
        <v>98.83</v>
      </c>
      <c r="N12" s="3">
        <f t="shared" si="0"/>
        <v>96.17</v>
      </c>
      <c r="O12" s="3">
        <f t="shared" si="18"/>
        <v>19.5</v>
      </c>
      <c r="P12" s="3">
        <f t="shared" si="1"/>
        <v>118.33</v>
      </c>
      <c r="Q12" s="3">
        <f t="shared" si="2"/>
        <v>76.67</v>
      </c>
      <c r="R12" s="3">
        <f t="shared" si="19"/>
        <v>19.5</v>
      </c>
      <c r="S12" s="3">
        <f t="shared" si="26"/>
        <v>137.82999999999998</v>
      </c>
      <c r="T12" s="3">
        <f t="shared" si="3"/>
        <v>57.170000000000016</v>
      </c>
      <c r="U12" s="3">
        <f t="shared" si="27"/>
        <v>19.5</v>
      </c>
      <c r="V12" s="3">
        <f t="shared" si="28"/>
        <v>157.32999999999998</v>
      </c>
      <c r="W12" s="3">
        <f t="shared" si="29"/>
        <v>37.670000000000016</v>
      </c>
      <c r="X12" s="3">
        <f t="shared" si="20"/>
        <v>19.5</v>
      </c>
      <c r="Y12" s="3">
        <f t="shared" si="21"/>
        <v>176.82999999999998</v>
      </c>
      <c r="Z12" s="3">
        <f t="shared" si="22"/>
        <v>18.170000000000016</v>
      </c>
      <c r="AA12" s="3">
        <f t="shared" si="23"/>
        <v>18.170000000000016</v>
      </c>
      <c r="AB12" s="3">
        <f t="shared" si="24"/>
        <v>195</v>
      </c>
      <c r="AC12" s="3">
        <f t="shared" si="25"/>
        <v>0</v>
      </c>
      <c r="AD12" s="3">
        <f t="shared" si="6"/>
        <v>0</v>
      </c>
      <c r="AE12" s="3">
        <f t="shared" si="7"/>
        <v>195</v>
      </c>
      <c r="AF12" s="3">
        <f t="shared" si="8"/>
        <v>0</v>
      </c>
      <c r="AG12" s="62">
        <f t="shared" si="9"/>
        <v>0</v>
      </c>
      <c r="AH12" s="62"/>
      <c r="AI12" s="3">
        <f t="shared" si="10"/>
        <v>195</v>
      </c>
      <c r="AJ12" s="62">
        <f t="shared" si="11"/>
        <v>0</v>
      </c>
      <c r="AK12" s="62">
        <f t="shared" si="12"/>
        <v>0</v>
      </c>
      <c r="AL12" s="3">
        <f t="shared" si="13"/>
        <v>195</v>
      </c>
      <c r="AM12" s="62">
        <f t="shared" si="14"/>
        <v>0</v>
      </c>
      <c r="AN12" s="62">
        <f t="shared" si="15"/>
        <v>0</v>
      </c>
      <c r="AO12" s="3">
        <f t="shared" si="16"/>
        <v>195</v>
      </c>
      <c r="AP12" s="62">
        <f t="shared" si="17"/>
        <v>0</v>
      </c>
      <c r="AQ12" s="147" t="s">
        <v>342</v>
      </c>
    </row>
    <row r="13" spans="1:43" x14ac:dyDescent="0.25">
      <c r="A13" s="1" t="s">
        <v>14</v>
      </c>
      <c r="B13" s="1" t="s">
        <v>149</v>
      </c>
      <c r="C13" s="158">
        <v>53</v>
      </c>
      <c r="D13" s="4">
        <v>41117</v>
      </c>
      <c r="E13" s="5">
        <v>113.7</v>
      </c>
      <c r="F13" s="10">
        <v>0.1</v>
      </c>
      <c r="G13" s="2">
        <v>1</v>
      </c>
      <c r="H13" s="1" t="s">
        <v>15</v>
      </c>
      <c r="I13" s="1" t="s">
        <v>16</v>
      </c>
      <c r="J13" s="1" t="s">
        <v>17</v>
      </c>
      <c r="K13" s="1" t="s">
        <v>18</v>
      </c>
      <c r="L13" s="43">
        <f t="shared" si="4"/>
        <v>11.370000000000001</v>
      </c>
      <c r="M13" s="43">
        <v>48.990000000000009</v>
      </c>
      <c r="N13" s="3">
        <f t="shared" si="0"/>
        <v>64.709999999999994</v>
      </c>
      <c r="O13" s="3">
        <f t="shared" si="18"/>
        <v>11.370000000000001</v>
      </c>
      <c r="P13" s="3">
        <f t="shared" si="1"/>
        <v>60.360000000000014</v>
      </c>
      <c r="Q13" s="3">
        <f t="shared" si="2"/>
        <v>53.339999999999989</v>
      </c>
      <c r="R13" s="3">
        <f t="shared" si="19"/>
        <v>11.370000000000001</v>
      </c>
      <c r="S13" s="3">
        <f t="shared" si="26"/>
        <v>71.730000000000018</v>
      </c>
      <c r="T13" s="3">
        <f t="shared" si="3"/>
        <v>41.969999999999985</v>
      </c>
      <c r="U13" s="3">
        <f t="shared" si="27"/>
        <v>11.370000000000001</v>
      </c>
      <c r="V13" s="3">
        <f t="shared" si="28"/>
        <v>83.100000000000023</v>
      </c>
      <c r="W13" s="3">
        <f t="shared" si="29"/>
        <v>30.59999999999998</v>
      </c>
      <c r="X13" s="3">
        <f t="shared" si="20"/>
        <v>11.370000000000001</v>
      </c>
      <c r="Y13" s="3">
        <f t="shared" si="21"/>
        <v>94.470000000000027</v>
      </c>
      <c r="Z13" s="3">
        <f t="shared" si="22"/>
        <v>19.229999999999976</v>
      </c>
      <c r="AA13" s="3">
        <f t="shared" si="23"/>
        <v>11.370000000000001</v>
      </c>
      <c r="AB13" s="3">
        <f t="shared" si="24"/>
        <v>105.84000000000003</v>
      </c>
      <c r="AC13" s="3">
        <f t="shared" si="25"/>
        <v>7.859999999999971</v>
      </c>
      <c r="AD13" s="3">
        <f t="shared" si="6"/>
        <v>7.859999999999971</v>
      </c>
      <c r="AE13" s="3">
        <f t="shared" si="7"/>
        <v>113.7</v>
      </c>
      <c r="AF13" s="3">
        <f t="shared" si="8"/>
        <v>0</v>
      </c>
      <c r="AG13" s="62">
        <f t="shared" si="9"/>
        <v>0</v>
      </c>
      <c r="AH13" s="62"/>
      <c r="AI13" s="3">
        <f t="shared" si="10"/>
        <v>113.7</v>
      </c>
      <c r="AJ13" s="62">
        <f t="shared" si="11"/>
        <v>0</v>
      </c>
      <c r="AK13" s="62">
        <f t="shared" si="12"/>
        <v>0</v>
      </c>
      <c r="AL13" s="3">
        <f t="shared" si="13"/>
        <v>113.7</v>
      </c>
      <c r="AM13" s="62">
        <f t="shared" si="14"/>
        <v>0</v>
      </c>
      <c r="AN13" s="62">
        <f t="shared" si="15"/>
        <v>0</v>
      </c>
      <c r="AO13" s="3">
        <f t="shared" si="16"/>
        <v>113.7</v>
      </c>
      <c r="AP13" s="62">
        <f t="shared" si="17"/>
        <v>0</v>
      </c>
      <c r="AQ13" s="147" t="s">
        <v>342</v>
      </c>
    </row>
    <row r="14" spans="1:43" x14ac:dyDescent="0.25">
      <c r="A14" s="1" t="s">
        <v>14</v>
      </c>
      <c r="B14" s="1" t="s">
        <v>147</v>
      </c>
      <c r="C14" s="158">
        <v>60</v>
      </c>
      <c r="D14" s="4">
        <v>41267</v>
      </c>
      <c r="E14" s="5">
        <v>350</v>
      </c>
      <c r="F14" s="10">
        <v>0.1</v>
      </c>
      <c r="G14" s="2">
        <v>1</v>
      </c>
      <c r="H14" s="1" t="s">
        <v>15</v>
      </c>
      <c r="I14" s="1" t="s">
        <v>16</v>
      </c>
      <c r="J14" s="1" t="s">
        <v>17</v>
      </c>
      <c r="K14" s="1" t="s">
        <v>18</v>
      </c>
      <c r="L14" s="43">
        <f t="shared" si="4"/>
        <v>35</v>
      </c>
      <c r="M14" s="43">
        <v>142.13</v>
      </c>
      <c r="N14" s="3">
        <f t="shared" si="0"/>
        <v>207.87</v>
      </c>
      <c r="O14" s="3">
        <f t="shared" si="18"/>
        <v>35</v>
      </c>
      <c r="P14" s="3">
        <f t="shared" si="1"/>
        <v>177.13</v>
      </c>
      <c r="Q14" s="3">
        <f t="shared" si="2"/>
        <v>172.87</v>
      </c>
      <c r="R14" s="3">
        <f t="shared" si="19"/>
        <v>35</v>
      </c>
      <c r="S14" s="3">
        <f t="shared" si="26"/>
        <v>212.13</v>
      </c>
      <c r="T14" s="3">
        <f t="shared" si="3"/>
        <v>137.87</v>
      </c>
      <c r="U14" s="3">
        <f t="shared" si="27"/>
        <v>35</v>
      </c>
      <c r="V14" s="3">
        <f t="shared" si="28"/>
        <v>247.13</v>
      </c>
      <c r="W14" s="3">
        <f t="shared" si="29"/>
        <v>102.87</v>
      </c>
      <c r="X14" s="3">
        <f t="shared" si="20"/>
        <v>35</v>
      </c>
      <c r="Y14" s="3">
        <f t="shared" si="21"/>
        <v>282.13</v>
      </c>
      <c r="Z14" s="3">
        <f t="shared" si="22"/>
        <v>67.87</v>
      </c>
      <c r="AA14" s="3">
        <f t="shared" si="23"/>
        <v>35</v>
      </c>
      <c r="AB14" s="3">
        <f t="shared" si="24"/>
        <v>317.13</v>
      </c>
      <c r="AC14" s="3">
        <f t="shared" si="25"/>
        <v>32.870000000000005</v>
      </c>
      <c r="AD14" s="3">
        <f t="shared" si="6"/>
        <v>32.870000000000005</v>
      </c>
      <c r="AE14" s="3">
        <f t="shared" si="7"/>
        <v>350</v>
      </c>
      <c r="AF14" s="3">
        <f t="shared" si="8"/>
        <v>0</v>
      </c>
      <c r="AG14" s="62">
        <f t="shared" si="9"/>
        <v>0</v>
      </c>
      <c r="AH14" s="62"/>
      <c r="AI14" s="3">
        <f t="shared" si="10"/>
        <v>350</v>
      </c>
      <c r="AJ14" s="62">
        <f t="shared" si="11"/>
        <v>0</v>
      </c>
      <c r="AK14" s="62">
        <f t="shared" si="12"/>
        <v>0</v>
      </c>
      <c r="AL14" s="3">
        <f t="shared" si="13"/>
        <v>350</v>
      </c>
      <c r="AM14" s="62">
        <f t="shared" si="14"/>
        <v>0</v>
      </c>
      <c r="AN14" s="62">
        <f t="shared" si="15"/>
        <v>0</v>
      </c>
      <c r="AO14" s="3">
        <f t="shared" si="16"/>
        <v>350</v>
      </c>
      <c r="AP14" s="62">
        <f t="shared" si="17"/>
        <v>0</v>
      </c>
      <c r="AQ14" s="147" t="s">
        <v>342</v>
      </c>
    </row>
    <row r="15" spans="1:43" x14ac:dyDescent="0.25">
      <c r="A15" s="1" t="s">
        <v>14</v>
      </c>
      <c r="B15" s="1" t="s">
        <v>150</v>
      </c>
      <c r="C15" s="158">
        <v>66</v>
      </c>
      <c r="D15" s="4">
        <v>41583</v>
      </c>
      <c r="E15" s="5">
        <v>8052.93</v>
      </c>
      <c r="F15" s="10">
        <v>0.1</v>
      </c>
      <c r="G15" s="2">
        <v>1</v>
      </c>
      <c r="H15" s="1" t="s">
        <v>15</v>
      </c>
      <c r="I15" s="1" t="s">
        <v>16</v>
      </c>
      <c r="J15" s="1" t="s">
        <v>17</v>
      </c>
      <c r="K15" s="1" t="s">
        <v>18</v>
      </c>
      <c r="L15" s="43">
        <f t="shared" si="4"/>
        <v>805.29300000000012</v>
      </c>
      <c r="M15" s="43">
        <v>2754.2860000000001</v>
      </c>
      <c r="N15" s="3">
        <f t="shared" si="0"/>
        <v>5298.6440000000002</v>
      </c>
      <c r="O15" s="3">
        <f t="shared" si="18"/>
        <v>805.29300000000012</v>
      </c>
      <c r="P15" s="3">
        <f t="shared" si="1"/>
        <v>3559.5790000000002</v>
      </c>
      <c r="Q15" s="3">
        <f t="shared" si="2"/>
        <v>4493.3510000000006</v>
      </c>
      <c r="R15" s="3">
        <f t="shared" si="19"/>
        <v>805.29300000000012</v>
      </c>
      <c r="S15" s="3">
        <f t="shared" si="26"/>
        <v>4364.8720000000003</v>
      </c>
      <c r="T15" s="3">
        <f t="shared" si="3"/>
        <v>3688.058</v>
      </c>
      <c r="U15" s="3">
        <f t="shared" si="27"/>
        <v>805.29300000000012</v>
      </c>
      <c r="V15" s="3">
        <f t="shared" si="28"/>
        <v>5170.1650000000009</v>
      </c>
      <c r="W15" s="3">
        <f t="shared" si="29"/>
        <v>2882.7649999999994</v>
      </c>
      <c r="X15" s="3">
        <f t="shared" si="20"/>
        <v>805.29300000000012</v>
      </c>
      <c r="Y15" s="3">
        <f t="shared" si="21"/>
        <v>5975.4580000000005</v>
      </c>
      <c r="Z15" s="3">
        <f t="shared" si="22"/>
        <v>2077.4719999999998</v>
      </c>
      <c r="AA15" s="3">
        <f t="shared" si="23"/>
        <v>805.29300000000012</v>
      </c>
      <c r="AB15" s="3">
        <f t="shared" ref="AB15:AB43" si="30">Y15+AA15</f>
        <v>6780.7510000000002</v>
      </c>
      <c r="AC15" s="3">
        <f t="shared" si="25"/>
        <v>1272.1790000000001</v>
      </c>
      <c r="AD15" s="3">
        <f t="shared" si="6"/>
        <v>805.29300000000012</v>
      </c>
      <c r="AE15" s="3">
        <f t="shared" si="7"/>
        <v>7586.0439999999999</v>
      </c>
      <c r="AF15" s="3">
        <f t="shared" si="8"/>
        <v>466.88600000000042</v>
      </c>
      <c r="AG15" s="62">
        <f t="shared" si="9"/>
        <v>466.88600000000042</v>
      </c>
      <c r="AH15" s="62"/>
      <c r="AI15" s="3">
        <f t="shared" si="10"/>
        <v>8052.93</v>
      </c>
      <c r="AJ15" s="62">
        <f t="shared" si="11"/>
        <v>0</v>
      </c>
      <c r="AK15" s="62">
        <f t="shared" si="12"/>
        <v>0</v>
      </c>
      <c r="AL15" s="3">
        <f t="shared" si="13"/>
        <v>8052.93</v>
      </c>
      <c r="AM15" s="62">
        <f t="shared" si="14"/>
        <v>0</v>
      </c>
      <c r="AN15" s="62">
        <f t="shared" si="15"/>
        <v>0</v>
      </c>
      <c r="AO15" s="3">
        <f t="shared" si="16"/>
        <v>8052.93</v>
      </c>
      <c r="AP15" s="62">
        <f t="shared" si="17"/>
        <v>0</v>
      </c>
      <c r="AQ15" s="147" t="s">
        <v>342</v>
      </c>
    </row>
    <row r="16" spans="1:43" x14ac:dyDescent="0.25">
      <c r="A16" s="1" t="s">
        <v>14</v>
      </c>
      <c r="B16" s="1" t="s">
        <v>151</v>
      </c>
      <c r="C16" s="158">
        <v>73</v>
      </c>
      <c r="D16" s="4">
        <v>41730</v>
      </c>
      <c r="E16" s="5">
        <v>826</v>
      </c>
      <c r="F16" s="10">
        <v>0.1</v>
      </c>
      <c r="G16" s="2">
        <v>1</v>
      </c>
      <c r="H16" s="1" t="s">
        <v>15</v>
      </c>
      <c r="I16" s="1" t="s">
        <v>16</v>
      </c>
      <c r="J16" s="1" t="s">
        <v>17</v>
      </c>
      <c r="K16" s="1" t="s">
        <v>18</v>
      </c>
      <c r="L16" s="43">
        <f t="shared" si="4"/>
        <v>82.600000000000009</v>
      </c>
      <c r="M16" s="43">
        <v>227.72000000000003</v>
      </c>
      <c r="N16" s="3">
        <f t="shared" si="0"/>
        <v>598.28</v>
      </c>
      <c r="O16" s="3">
        <f t="shared" si="18"/>
        <v>82.600000000000009</v>
      </c>
      <c r="P16" s="3">
        <f t="shared" si="1"/>
        <v>310.32000000000005</v>
      </c>
      <c r="Q16" s="3">
        <f t="shared" si="2"/>
        <v>515.67999999999995</v>
      </c>
      <c r="R16" s="3">
        <f t="shared" si="19"/>
        <v>82.600000000000009</v>
      </c>
      <c r="S16" s="3">
        <f t="shared" si="26"/>
        <v>392.92000000000007</v>
      </c>
      <c r="T16" s="3">
        <f t="shared" si="3"/>
        <v>433.07999999999993</v>
      </c>
      <c r="U16" s="3">
        <f t="shared" si="27"/>
        <v>82.600000000000009</v>
      </c>
      <c r="V16" s="3">
        <f t="shared" si="28"/>
        <v>475.5200000000001</v>
      </c>
      <c r="W16" s="3">
        <f t="shared" si="29"/>
        <v>350.4799999999999</v>
      </c>
      <c r="X16" s="3">
        <f t="shared" si="20"/>
        <v>82.600000000000009</v>
      </c>
      <c r="Y16" s="3">
        <f t="shared" si="21"/>
        <v>558.12000000000012</v>
      </c>
      <c r="Z16" s="3">
        <f t="shared" si="22"/>
        <v>267.87999999999988</v>
      </c>
      <c r="AA16" s="3">
        <f t="shared" si="23"/>
        <v>82.600000000000009</v>
      </c>
      <c r="AB16" s="3">
        <f t="shared" si="30"/>
        <v>640.72000000000014</v>
      </c>
      <c r="AC16" s="3">
        <f t="shared" si="25"/>
        <v>185.27999999999986</v>
      </c>
      <c r="AD16" s="3">
        <f t="shared" si="6"/>
        <v>82.600000000000009</v>
      </c>
      <c r="AE16" s="3">
        <f t="shared" si="7"/>
        <v>723.32000000000016</v>
      </c>
      <c r="AF16" s="3">
        <f t="shared" si="8"/>
        <v>102.67999999999984</v>
      </c>
      <c r="AG16" s="62">
        <f t="shared" si="9"/>
        <v>82.600000000000009</v>
      </c>
      <c r="AH16" s="62">
        <v>20.079999999999998</v>
      </c>
      <c r="AI16" s="3">
        <f>AE16+AG16+AH16</f>
        <v>826.00000000000023</v>
      </c>
      <c r="AJ16" s="62">
        <f t="shared" si="11"/>
        <v>0</v>
      </c>
      <c r="AK16" s="62">
        <f t="shared" si="12"/>
        <v>0</v>
      </c>
      <c r="AL16" s="3">
        <f t="shared" si="13"/>
        <v>826.00000000000023</v>
      </c>
      <c r="AM16" s="62">
        <f t="shared" si="14"/>
        <v>0</v>
      </c>
      <c r="AN16" s="62">
        <f t="shared" si="15"/>
        <v>0</v>
      </c>
      <c r="AO16" s="3">
        <f t="shared" si="16"/>
        <v>826.00000000000023</v>
      </c>
      <c r="AP16" s="62">
        <f t="shared" si="17"/>
        <v>0</v>
      </c>
      <c r="AQ16" s="147" t="s">
        <v>342</v>
      </c>
    </row>
    <row r="17" spans="1:43" x14ac:dyDescent="0.25">
      <c r="A17" s="1" t="s">
        <v>14</v>
      </c>
      <c r="B17" s="1" t="s">
        <v>152</v>
      </c>
      <c r="C17" s="158">
        <v>74</v>
      </c>
      <c r="D17" s="4">
        <v>41738</v>
      </c>
      <c r="E17" s="5">
        <v>229</v>
      </c>
      <c r="F17" s="19">
        <v>0.1</v>
      </c>
      <c r="G17" s="2">
        <v>1</v>
      </c>
      <c r="H17" s="1" t="s">
        <v>15</v>
      </c>
      <c r="I17" s="1" t="s">
        <v>16</v>
      </c>
      <c r="J17" s="1" t="s">
        <v>17</v>
      </c>
      <c r="K17" s="1" t="s">
        <v>36</v>
      </c>
      <c r="L17" s="43">
        <f t="shared" si="4"/>
        <v>22.900000000000002</v>
      </c>
      <c r="M17" s="43">
        <v>62.64</v>
      </c>
      <c r="N17" s="3">
        <f t="shared" si="0"/>
        <v>166.36</v>
      </c>
      <c r="O17" s="3">
        <f t="shared" si="18"/>
        <v>22.900000000000002</v>
      </c>
      <c r="P17" s="3">
        <f t="shared" si="1"/>
        <v>85.54</v>
      </c>
      <c r="Q17" s="3">
        <f t="shared" si="2"/>
        <v>143.45999999999998</v>
      </c>
      <c r="R17" s="3">
        <f t="shared" si="19"/>
        <v>22.900000000000002</v>
      </c>
      <c r="S17" s="3">
        <f t="shared" si="26"/>
        <v>108.44000000000001</v>
      </c>
      <c r="T17" s="3">
        <f t="shared" si="3"/>
        <v>120.55999999999999</v>
      </c>
      <c r="U17" s="3">
        <f t="shared" si="27"/>
        <v>22.900000000000002</v>
      </c>
      <c r="V17" s="3">
        <f t="shared" si="28"/>
        <v>131.34</v>
      </c>
      <c r="W17" s="3">
        <f t="shared" si="29"/>
        <v>97.66</v>
      </c>
      <c r="X17" s="3">
        <f t="shared" si="20"/>
        <v>22.900000000000002</v>
      </c>
      <c r="Y17" s="3">
        <f t="shared" si="21"/>
        <v>154.24</v>
      </c>
      <c r="Z17" s="3">
        <f t="shared" si="22"/>
        <v>74.759999999999991</v>
      </c>
      <c r="AA17" s="3">
        <f t="shared" si="23"/>
        <v>22.900000000000002</v>
      </c>
      <c r="AB17" s="3">
        <f t="shared" si="30"/>
        <v>177.14000000000001</v>
      </c>
      <c r="AC17" s="3">
        <f t="shared" si="25"/>
        <v>51.859999999999985</v>
      </c>
      <c r="AD17" s="3">
        <f t="shared" si="6"/>
        <v>22.900000000000002</v>
      </c>
      <c r="AE17" s="3">
        <f t="shared" si="7"/>
        <v>200.04000000000002</v>
      </c>
      <c r="AF17" s="3">
        <f t="shared" si="8"/>
        <v>28.95999999999998</v>
      </c>
      <c r="AG17" s="62">
        <f t="shared" si="9"/>
        <v>22.900000000000002</v>
      </c>
      <c r="AH17" s="62">
        <v>6.06</v>
      </c>
      <c r="AI17" s="3">
        <f t="shared" ref="AI17:AI18" si="31">AE17+AG17+AH17</f>
        <v>229.00000000000003</v>
      </c>
      <c r="AJ17" s="62">
        <f t="shared" si="11"/>
        <v>0</v>
      </c>
      <c r="AK17" s="62">
        <f t="shared" si="12"/>
        <v>0</v>
      </c>
      <c r="AL17" s="3">
        <f t="shared" si="13"/>
        <v>229.00000000000003</v>
      </c>
      <c r="AM17" s="62">
        <f t="shared" si="14"/>
        <v>0</v>
      </c>
      <c r="AN17" s="62">
        <f t="shared" si="15"/>
        <v>0</v>
      </c>
      <c r="AO17" s="3">
        <f t="shared" si="16"/>
        <v>229.00000000000003</v>
      </c>
      <c r="AP17" s="62">
        <f t="shared" si="17"/>
        <v>0</v>
      </c>
      <c r="AQ17" s="147" t="s">
        <v>342</v>
      </c>
    </row>
    <row r="18" spans="1:43" x14ac:dyDescent="0.25">
      <c r="A18" s="1"/>
      <c r="B18" s="1" t="s">
        <v>153</v>
      </c>
      <c r="C18" s="158">
        <v>91</v>
      </c>
      <c r="D18" s="4">
        <v>42644</v>
      </c>
      <c r="E18" s="102">
        <v>1239.67</v>
      </c>
      <c r="F18" s="19">
        <v>0.1</v>
      </c>
      <c r="G18" s="2"/>
      <c r="H18" s="1"/>
      <c r="I18" s="1">
        <v>28160000</v>
      </c>
      <c r="J18" s="1" t="s">
        <v>17</v>
      </c>
      <c r="K18" s="1" t="s">
        <v>18</v>
      </c>
      <c r="L18" s="1">
        <f>((E18*F18)/12)*3</f>
        <v>30.991750000000003</v>
      </c>
      <c r="M18" s="43">
        <v>30.991750000000003</v>
      </c>
      <c r="N18" s="3">
        <f t="shared" si="0"/>
        <v>1208.6782500000002</v>
      </c>
      <c r="O18" s="3">
        <f t="shared" si="18"/>
        <v>123.96700000000001</v>
      </c>
      <c r="P18" s="3">
        <f t="shared" si="1"/>
        <v>154.95875000000001</v>
      </c>
      <c r="Q18" s="3">
        <f t="shared" si="2"/>
        <v>1084.7112500000001</v>
      </c>
      <c r="R18" s="3">
        <f t="shared" si="19"/>
        <v>123.96700000000001</v>
      </c>
      <c r="S18" s="62">
        <f t="shared" si="26"/>
        <v>278.92574999999999</v>
      </c>
      <c r="T18" s="3">
        <f t="shared" si="3"/>
        <v>960.74425000000008</v>
      </c>
      <c r="U18" s="3">
        <f t="shared" si="27"/>
        <v>123.96700000000001</v>
      </c>
      <c r="V18" s="3">
        <f t="shared" si="28"/>
        <v>402.89274999999998</v>
      </c>
      <c r="W18" s="3">
        <f t="shared" si="29"/>
        <v>836.77725000000009</v>
      </c>
      <c r="X18" s="3">
        <f t="shared" si="20"/>
        <v>123.96700000000001</v>
      </c>
      <c r="Y18" s="3">
        <f t="shared" si="21"/>
        <v>526.85974999999996</v>
      </c>
      <c r="Z18" s="3">
        <f t="shared" si="22"/>
        <v>712.81025000000011</v>
      </c>
      <c r="AA18" s="3">
        <f t="shared" si="23"/>
        <v>123.96700000000001</v>
      </c>
      <c r="AB18" s="3">
        <f t="shared" si="30"/>
        <v>650.82674999999995</v>
      </c>
      <c r="AC18" s="3">
        <f t="shared" si="25"/>
        <v>588.84325000000013</v>
      </c>
      <c r="AD18" s="3">
        <f t="shared" si="6"/>
        <v>123.96700000000001</v>
      </c>
      <c r="AE18" s="3">
        <f t="shared" si="7"/>
        <v>774.79374999999993</v>
      </c>
      <c r="AF18" s="3">
        <f t="shared" si="8"/>
        <v>464.87625000000014</v>
      </c>
      <c r="AG18" s="62">
        <f t="shared" si="9"/>
        <v>123.96700000000001</v>
      </c>
      <c r="AH18" s="62">
        <v>83.45</v>
      </c>
      <c r="AI18" s="3">
        <f t="shared" si="31"/>
        <v>982.21074999999996</v>
      </c>
      <c r="AJ18" s="62">
        <f t="shared" si="11"/>
        <v>257.45925000000011</v>
      </c>
      <c r="AK18" s="62">
        <f t="shared" si="12"/>
        <v>123.96700000000001</v>
      </c>
      <c r="AL18" s="3">
        <f t="shared" si="13"/>
        <v>1106.1777500000001</v>
      </c>
      <c r="AM18" s="62">
        <f t="shared" si="14"/>
        <v>133.49225000000001</v>
      </c>
      <c r="AN18" s="62">
        <f>ROUND(E18*0.1*46/365,2)</f>
        <v>15.62</v>
      </c>
      <c r="AO18" s="3">
        <f t="shared" si="16"/>
        <v>1121.79775</v>
      </c>
      <c r="AP18" s="62">
        <f t="shared" si="17"/>
        <v>117.87225000000012</v>
      </c>
      <c r="AQ18" s="147" t="s">
        <v>342</v>
      </c>
    </row>
    <row r="19" spans="1:43" s="126" customFormat="1" x14ac:dyDescent="0.25">
      <c r="A19" s="120"/>
      <c r="B19" s="120" t="s">
        <v>153</v>
      </c>
      <c r="C19" s="158">
        <v>92</v>
      </c>
      <c r="D19" s="121">
        <v>42644</v>
      </c>
      <c r="E19" s="102">
        <v>3068.59</v>
      </c>
      <c r="F19" s="122">
        <v>0.1</v>
      </c>
      <c r="G19" s="123"/>
      <c r="H19" s="120"/>
      <c r="I19" s="120">
        <v>28160000</v>
      </c>
      <c r="J19" s="120" t="s">
        <v>17</v>
      </c>
      <c r="K19" s="120" t="s">
        <v>18</v>
      </c>
      <c r="L19" s="120">
        <f>((E19*F19)/12)*3</f>
        <v>76.714750000000009</v>
      </c>
      <c r="M19" s="124">
        <v>76.714750000000009</v>
      </c>
      <c r="N19" s="125">
        <f t="shared" si="0"/>
        <v>2991.8752500000001</v>
      </c>
      <c r="O19" s="125">
        <f t="shared" si="18"/>
        <v>306.85900000000004</v>
      </c>
      <c r="P19" s="125">
        <f t="shared" si="1"/>
        <v>383.57375000000002</v>
      </c>
      <c r="Q19" s="125">
        <f t="shared" si="2"/>
        <v>2685.0162500000001</v>
      </c>
      <c r="R19" s="125">
        <f t="shared" si="19"/>
        <v>306.85900000000004</v>
      </c>
      <c r="S19" s="62">
        <f t="shared" si="26"/>
        <v>690.43275000000006</v>
      </c>
      <c r="T19" s="125">
        <f t="shared" si="3"/>
        <v>2378.1572500000002</v>
      </c>
      <c r="U19" s="3">
        <f t="shared" si="27"/>
        <v>306.85900000000004</v>
      </c>
      <c r="V19" s="3">
        <f t="shared" si="28"/>
        <v>997.29175000000009</v>
      </c>
      <c r="W19" s="3">
        <f t="shared" si="29"/>
        <v>2071.2982499999998</v>
      </c>
      <c r="X19" s="3">
        <f t="shared" si="20"/>
        <v>306.85900000000004</v>
      </c>
      <c r="Y19" s="3">
        <f t="shared" si="21"/>
        <v>1304.1507500000002</v>
      </c>
      <c r="Z19" s="3">
        <f t="shared" si="22"/>
        <v>1764.4392499999999</v>
      </c>
      <c r="AA19" s="3">
        <f t="shared" si="23"/>
        <v>306.85900000000004</v>
      </c>
      <c r="AB19" s="3">
        <f t="shared" si="30"/>
        <v>1611.0097500000002</v>
      </c>
      <c r="AC19" s="3">
        <f t="shared" si="25"/>
        <v>1457.58025</v>
      </c>
      <c r="AD19" s="3">
        <f t="shared" si="6"/>
        <v>306.85900000000004</v>
      </c>
      <c r="AE19" s="3">
        <f t="shared" si="7"/>
        <v>1917.8687500000001</v>
      </c>
      <c r="AF19" s="3">
        <f t="shared" si="8"/>
        <v>1150.7212500000001</v>
      </c>
      <c r="AG19" s="62">
        <f t="shared" si="9"/>
        <v>306.85900000000004</v>
      </c>
      <c r="AH19" s="62"/>
      <c r="AI19" s="3">
        <f t="shared" si="10"/>
        <v>2224.72775</v>
      </c>
      <c r="AJ19" s="62">
        <f t="shared" si="11"/>
        <v>843.86225000000013</v>
      </c>
      <c r="AK19" s="62">
        <f t="shared" si="12"/>
        <v>306.85900000000004</v>
      </c>
      <c r="AL19" s="3">
        <f t="shared" ref="AL19:AL43" si="32">AI19+AK19</f>
        <v>2531.5867499999999</v>
      </c>
      <c r="AM19" s="62">
        <f t="shared" si="14"/>
        <v>537.00325000000021</v>
      </c>
      <c r="AN19" s="62">
        <f>ROUND(E19*0.1*46/365,2)</f>
        <v>38.67</v>
      </c>
      <c r="AO19" s="3">
        <f t="shared" si="16"/>
        <v>2570.25675</v>
      </c>
      <c r="AP19" s="62">
        <f t="shared" si="17"/>
        <v>498.33325000000013</v>
      </c>
      <c r="AQ19" s="147" t="s">
        <v>342</v>
      </c>
    </row>
    <row r="20" spans="1:43" x14ac:dyDescent="0.25">
      <c r="A20">
        <v>587</v>
      </c>
      <c r="B20" s="112" t="s">
        <v>261</v>
      </c>
      <c r="C20" s="159">
        <v>129</v>
      </c>
      <c r="D20" s="4">
        <v>43282</v>
      </c>
      <c r="E20" s="110">
        <v>132.19999999999999</v>
      </c>
      <c r="F20" s="19">
        <v>0.1</v>
      </c>
      <c r="I20" s="1">
        <v>28160000</v>
      </c>
      <c r="J20" s="1">
        <v>68100000</v>
      </c>
      <c r="K20" s="1">
        <v>40000000</v>
      </c>
      <c r="R20" s="3">
        <f>(E20*F20)/12*6</f>
        <v>6.6099999999999994</v>
      </c>
      <c r="S20" s="50">
        <f t="shared" si="26"/>
        <v>6.6099999999999994</v>
      </c>
      <c r="T20" s="3">
        <f t="shared" si="3"/>
        <v>125.58999999999999</v>
      </c>
      <c r="U20" s="3">
        <f t="shared" si="27"/>
        <v>13.219999999999999</v>
      </c>
      <c r="V20" s="3">
        <f t="shared" si="28"/>
        <v>19.829999999999998</v>
      </c>
      <c r="W20" s="3">
        <f t="shared" si="29"/>
        <v>112.36999999999999</v>
      </c>
      <c r="X20" s="3">
        <f t="shared" si="20"/>
        <v>13.219999999999999</v>
      </c>
      <c r="Y20" s="3">
        <f t="shared" si="21"/>
        <v>33.049999999999997</v>
      </c>
      <c r="Z20" s="3">
        <f t="shared" si="22"/>
        <v>99.149999999999991</v>
      </c>
      <c r="AA20" s="3">
        <f t="shared" si="23"/>
        <v>13.219999999999999</v>
      </c>
      <c r="AB20" s="3">
        <f t="shared" si="30"/>
        <v>46.269999999999996</v>
      </c>
      <c r="AC20" s="3">
        <f t="shared" si="25"/>
        <v>85.929999999999993</v>
      </c>
      <c r="AD20" s="3">
        <f t="shared" si="6"/>
        <v>13.219999999999999</v>
      </c>
      <c r="AE20" s="3">
        <f t="shared" si="7"/>
        <v>59.489999999999995</v>
      </c>
      <c r="AF20" s="3">
        <f t="shared" si="8"/>
        <v>72.709999999999994</v>
      </c>
      <c r="AG20" s="62">
        <f t="shared" si="9"/>
        <v>13.219999999999999</v>
      </c>
      <c r="AH20" s="62"/>
      <c r="AI20" s="3">
        <f t="shared" si="10"/>
        <v>72.709999999999994</v>
      </c>
      <c r="AJ20" s="62">
        <f t="shared" si="11"/>
        <v>59.489999999999995</v>
      </c>
      <c r="AK20" s="62">
        <f t="shared" si="12"/>
        <v>13.219999999999999</v>
      </c>
      <c r="AL20" s="3">
        <f t="shared" si="32"/>
        <v>85.929999999999993</v>
      </c>
      <c r="AM20" s="62">
        <f t="shared" si="14"/>
        <v>46.269999999999996</v>
      </c>
      <c r="AN20" s="33">
        <f>ROUND(E20*0.1*300/365,2)</f>
        <v>10.87</v>
      </c>
      <c r="AO20" s="3">
        <f t="shared" si="16"/>
        <v>96.8</v>
      </c>
      <c r="AP20" s="33">
        <f t="shared" si="17"/>
        <v>35.399999999999991</v>
      </c>
      <c r="AQ20" s="154" t="s">
        <v>343</v>
      </c>
    </row>
    <row r="21" spans="1:43" x14ac:dyDescent="0.25">
      <c r="A21">
        <v>587</v>
      </c>
      <c r="B21" s="112" t="s">
        <v>262</v>
      </c>
      <c r="C21" s="159">
        <v>130</v>
      </c>
      <c r="D21" s="4">
        <v>43282</v>
      </c>
      <c r="E21" s="110">
        <v>192.5</v>
      </c>
      <c r="F21" s="19">
        <v>0.1</v>
      </c>
      <c r="I21" s="1">
        <v>28160000</v>
      </c>
      <c r="J21" s="1">
        <v>68100000</v>
      </c>
      <c r="K21" s="1">
        <v>40000000</v>
      </c>
      <c r="R21" s="3">
        <f>(E21*F21)/12*6</f>
        <v>9.625</v>
      </c>
      <c r="S21" s="50">
        <f t="shared" ref="S21" si="33">P21+R21</f>
        <v>9.625</v>
      </c>
      <c r="T21" s="3">
        <f t="shared" ref="T21" si="34">E21-S21</f>
        <v>182.875</v>
      </c>
      <c r="U21" s="3">
        <f t="shared" si="27"/>
        <v>19.25</v>
      </c>
      <c r="V21" s="3">
        <f t="shared" si="28"/>
        <v>28.875</v>
      </c>
      <c r="W21" s="3">
        <f t="shared" si="29"/>
        <v>163.625</v>
      </c>
      <c r="X21" s="3">
        <f t="shared" si="20"/>
        <v>19.25</v>
      </c>
      <c r="Y21" s="3">
        <f t="shared" si="21"/>
        <v>48.125</v>
      </c>
      <c r="Z21" s="3">
        <f t="shared" si="22"/>
        <v>144.375</v>
      </c>
      <c r="AA21" s="3">
        <f t="shared" si="23"/>
        <v>19.25</v>
      </c>
      <c r="AB21" s="3">
        <f t="shared" si="30"/>
        <v>67.375</v>
      </c>
      <c r="AC21" s="3">
        <f t="shared" si="25"/>
        <v>125.125</v>
      </c>
      <c r="AD21" s="3">
        <f t="shared" si="6"/>
        <v>19.25</v>
      </c>
      <c r="AE21" s="3">
        <f t="shared" si="7"/>
        <v>86.625</v>
      </c>
      <c r="AF21" s="3">
        <f t="shared" si="8"/>
        <v>105.875</v>
      </c>
      <c r="AG21" s="62">
        <f t="shared" si="9"/>
        <v>19.25</v>
      </c>
      <c r="AH21" s="62"/>
      <c r="AI21" s="3">
        <f t="shared" si="10"/>
        <v>105.875</v>
      </c>
      <c r="AJ21" s="62">
        <f t="shared" si="11"/>
        <v>86.625</v>
      </c>
      <c r="AK21" s="62">
        <f t="shared" si="12"/>
        <v>19.25</v>
      </c>
      <c r="AL21" s="3">
        <f t="shared" si="32"/>
        <v>125.125</v>
      </c>
      <c r="AM21" s="62">
        <f t="shared" si="14"/>
        <v>67.375</v>
      </c>
      <c r="AN21" s="33">
        <f>ROUND(E21*0.1*300/365,2)</f>
        <v>15.82</v>
      </c>
      <c r="AO21" s="3">
        <f t="shared" si="16"/>
        <v>140.94499999999999</v>
      </c>
      <c r="AP21" s="33">
        <f t="shared" si="17"/>
        <v>51.555000000000007</v>
      </c>
      <c r="AQ21" s="154" t="s">
        <v>343</v>
      </c>
    </row>
    <row r="22" spans="1:43" x14ac:dyDescent="0.25">
      <c r="A22">
        <v>423</v>
      </c>
      <c r="B22" s="74" t="s">
        <v>263</v>
      </c>
      <c r="C22" s="159">
        <v>105</v>
      </c>
      <c r="D22" s="4">
        <v>43291</v>
      </c>
      <c r="E22" s="102">
        <v>54.54</v>
      </c>
      <c r="F22" s="19">
        <v>0.1</v>
      </c>
      <c r="I22" s="1">
        <v>28160000</v>
      </c>
      <c r="J22" s="1">
        <v>68100000</v>
      </c>
      <c r="K22" s="1">
        <v>40000204</v>
      </c>
      <c r="R22" s="3">
        <f t="shared" ref="R22:R27" si="35">(E22*F22)/12*5.5</f>
        <v>2.4997500000000006</v>
      </c>
      <c r="S22" s="50">
        <f t="shared" si="26"/>
        <v>2.4997500000000006</v>
      </c>
      <c r="T22" s="3">
        <f t="shared" si="3"/>
        <v>52.04025</v>
      </c>
      <c r="U22" s="3">
        <f t="shared" si="27"/>
        <v>5.4540000000000006</v>
      </c>
      <c r="V22" s="3">
        <f t="shared" si="28"/>
        <v>7.9537500000000012</v>
      </c>
      <c r="W22" s="3">
        <f t="shared" si="29"/>
        <v>46.58625</v>
      </c>
      <c r="X22" s="3">
        <f t="shared" si="20"/>
        <v>5.4540000000000006</v>
      </c>
      <c r="Y22" s="3">
        <f t="shared" si="21"/>
        <v>13.407750000000002</v>
      </c>
      <c r="Z22" s="3">
        <f t="shared" si="22"/>
        <v>41.132249999999999</v>
      </c>
      <c r="AA22" s="3">
        <f t="shared" si="23"/>
        <v>5.4540000000000006</v>
      </c>
      <c r="AB22" s="3">
        <f t="shared" si="30"/>
        <v>18.861750000000001</v>
      </c>
      <c r="AC22" s="3">
        <f t="shared" si="25"/>
        <v>35.678249999999998</v>
      </c>
      <c r="AD22" s="3">
        <f t="shared" si="6"/>
        <v>5.4540000000000006</v>
      </c>
      <c r="AE22" s="3">
        <f t="shared" si="7"/>
        <v>24.315750000000001</v>
      </c>
      <c r="AF22" s="3">
        <f t="shared" si="8"/>
        <v>30.224249999999998</v>
      </c>
      <c r="AG22" s="62">
        <f t="shared" si="9"/>
        <v>5.4540000000000006</v>
      </c>
      <c r="AH22" s="62"/>
      <c r="AI22" s="3">
        <f t="shared" si="10"/>
        <v>29.769750000000002</v>
      </c>
      <c r="AJ22" s="62">
        <f t="shared" si="11"/>
        <v>24.770249999999997</v>
      </c>
      <c r="AK22" s="62">
        <f t="shared" si="12"/>
        <v>5.4540000000000006</v>
      </c>
      <c r="AL22" s="3">
        <f t="shared" si="32"/>
        <v>35.223750000000003</v>
      </c>
      <c r="AM22" s="62">
        <f t="shared" si="14"/>
        <v>19.316249999999997</v>
      </c>
      <c r="AN22" s="62">
        <f>ROUND(E22*0.1*46/365,2)</f>
        <v>0.69</v>
      </c>
      <c r="AO22" s="3">
        <f t="shared" si="16"/>
        <v>35.91375</v>
      </c>
      <c r="AP22" s="62">
        <f t="shared" si="17"/>
        <v>18.626249999999999</v>
      </c>
      <c r="AQ22" s="147" t="s">
        <v>342</v>
      </c>
    </row>
    <row r="23" spans="1:43" x14ac:dyDescent="0.25">
      <c r="A23">
        <v>423</v>
      </c>
      <c r="B23" s="74" t="s">
        <v>264</v>
      </c>
      <c r="C23" s="105">
        <v>106</v>
      </c>
      <c r="D23" s="4">
        <v>43291</v>
      </c>
      <c r="E23" s="102">
        <v>145.44999999999999</v>
      </c>
      <c r="F23" s="19">
        <v>0.1</v>
      </c>
      <c r="I23" s="1">
        <v>28160000</v>
      </c>
      <c r="J23" s="1">
        <v>68100000</v>
      </c>
      <c r="K23" s="1">
        <v>40000204</v>
      </c>
      <c r="R23" s="3">
        <f t="shared" si="35"/>
        <v>6.6664583333333338</v>
      </c>
      <c r="S23" s="50">
        <f t="shared" ref="S23:S24" si="36">P23+R23</f>
        <v>6.6664583333333338</v>
      </c>
      <c r="T23" s="3">
        <f t="shared" ref="T23:T24" si="37">E23-S23</f>
        <v>138.78354166666665</v>
      </c>
      <c r="U23" s="3">
        <f t="shared" si="27"/>
        <v>14.545</v>
      </c>
      <c r="V23" s="3">
        <f t="shared" si="28"/>
        <v>21.211458333333333</v>
      </c>
      <c r="W23" s="3">
        <f t="shared" si="29"/>
        <v>124.23854166666666</v>
      </c>
      <c r="X23" s="3">
        <f t="shared" si="20"/>
        <v>14.545</v>
      </c>
      <c r="Y23" s="3">
        <f t="shared" si="21"/>
        <v>35.756458333333335</v>
      </c>
      <c r="Z23" s="3">
        <f t="shared" si="22"/>
        <v>109.69354166666665</v>
      </c>
      <c r="AA23" s="3">
        <f t="shared" si="23"/>
        <v>14.545</v>
      </c>
      <c r="AB23" s="3">
        <f t="shared" si="30"/>
        <v>50.301458333333336</v>
      </c>
      <c r="AC23" s="3">
        <f t="shared" si="25"/>
        <v>95.148541666666659</v>
      </c>
      <c r="AD23" s="3">
        <f t="shared" si="6"/>
        <v>14.545</v>
      </c>
      <c r="AE23" s="3">
        <f t="shared" si="7"/>
        <v>64.846458333333331</v>
      </c>
      <c r="AF23" s="3">
        <f t="shared" si="8"/>
        <v>80.603541666666658</v>
      </c>
      <c r="AG23" s="62">
        <f t="shared" si="9"/>
        <v>14.545</v>
      </c>
      <c r="AH23" s="62"/>
      <c r="AI23" s="3">
        <f t="shared" si="10"/>
        <v>79.391458333333333</v>
      </c>
      <c r="AJ23" s="62">
        <f t="shared" si="11"/>
        <v>66.058541666666656</v>
      </c>
      <c r="AK23" s="62">
        <f t="shared" si="12"/>
        <v>14.545</v>
      </c>
      <c r="AL23" s="3">
        <f t="shared" si="32"/>
        <v>93.936458333333334</v>
      </c>
      <c r="AM23" s="62">
        <f t="shared" si="14"/>
        <v>51.513541666666654</v>
      </c>
      <c r="AN23" s="62">
        <f>IF((E23*F23)&lt;AM23,(E23*F23),AM23)-0.01</f>
        <v>14.535</v>
      </c>
      <c r="AO23" s="3">
        <f t="shared" si="16"/>
        <v>108.47145833333333</v>
      </c>
      <c r="AP23" s="62">
        <f t="shared" si="17"/>
        <v>36.978541666666658</v>
      </c>
    </row>
    <row r="24" spans="1:43" x14ac:dyDescent="0.25">
      <c r="A24">
        <v>423</v>
      </c>
      <c r="B24" s="74" t="s">
        <v>265</v>
      </c>
      <c r="C24" s="105">
        <v>107</v>
      </c>
      <c r="D24" s="4">
        <v>43291</v>
      </c>
      <c r="E24" s="102">
        <v>207.44</v>
      </c>
      <c r="F24" s="19">
        <v>0.1</v>
      </c>
      <c r="I24" s="1">
        <v>28160000</v>
      </c>
      <c r="J24" s="1">
        <v>68100000</v>
      </c>
      <c r="K24" s="1">
        <v>40000204</v>
      </c>
      <c r="R24" s="3">
        <f t="shared" si="35"/>
        <v>9.5076666666666654</v>
      </c>
      <c r="S24" s="50">
        <f t="shared" si="36"/>
        <v>9.5076666666666654</v>
      </c>
      <c r="T24" s="3">
        <f t="shared" si="37"/>
        <v>197.93233333333333</v>
      </c>
      <c r="U24" s="3">
        <f t="shared" si="27"/>
        <v>20.744</v>
      </c>
      <c r="V24" s="3">
        <f t="shared" si="28"/>
        <v>30.251666666666665</v>
      </c>
      <c r="W24" s="3">
        <f t="shared" si="29"/>
        <v>177.18833333333333</v>
      </c>
      <c r="X24" s="3">
        <f t="shared" si="20"/>
        <v>20.744</v>
      </c>
      <c r="Y24" s="3">
        <f t="shared" si="21"/>
        <v>50.995666666666665</v>
      </c>
      <c r="Z24" s="3">
        <f t="shared" si="22"/>
        <v>156.44433333333333</v>
      </c>
      <c r="AA24" s="3">
        <f t="shared" si="23"/>
        <v>20.744</v>
      </c>
      <c r="AB24" s="3">
        <f t="shared" si="30"/>
        <v>71.739666666666665</v>
      </c>
      <c r="AC24" s="3">
        <f t="shared" si="25"/>
        <v>135.70033333333333</v>
      </c>
      <c r="AD24" s="3">
        <f t="shared" si="6"/>
        <v>20.744</v>
      </c>
      <c r="AE24" s="3">
        <f t="shared" si="7"/>
        <v>92.483666666666664</v>
      </c>
      <c r="AF24" s="3">
        <f t="shared" si="8"/>
        <v>114.95633333333333</v>
      </c>
      <c r="AG24" s="62">
        <f t="shared" si="9"/>
        <v>20.744</v>
      </c>
      <c r="AH24" s="62"/>
      <c r="AI24" s="3">
        <f t="shared" si="10"/>
        <v>113.22766666666666</v>
      </c>
      <c r="AJ24" s="62">
        <f t="shared" si="11"/>
        <v>94.212333333333333</v>
      </c>
      <c r="AK24" s="62">
        <f t="shared" si="12"/>
        <v>20.744</v>
      </c>
      <c r="AL24" s="3">
        <f t="shared" si="32"/>
        <v>133.97166666666666</v>
      </c>
      <c r="AM24" s="62">
        <f t="shared" si="14"/>
        <v>73.468333333333334</v>
      </c>
      <c r="AN24" s="62">
        <f t="shared" si="15"/>
        <v>20.744</v>
      </c>
      <c r="AO24" s="3">
        <f t="shared" si="16"/>
        <v>154.71566666666666</v>
      </c>
      <c r="AP24" s="62">
        <f t="shared" si="17"/>
        <v>52.724333333333334</v>
      </c>
    </row>
    <row r="25" spans="1:43" x14ac:dyDescent="0.25">
      <c r="A25">
        <v>424</v>
      </c>
      <c r="B25" s="112" t="s">
        <v>268</v>
      </c>
      <c r="C25" s="159">
        <v>108</v>
      </c>
      <c r="D25" s="4">
        <v>43291</v>
      </c>
      <c r="E25" s="110">
        <v>2356.1999999999998</v>
      </c>
      <c r="F25" s="19">
        <v>0.1</v>
      </c>
      <c r="I25" s="1">
        <v>28160000</v>
      </c>
      <c r="J25" s="1">
        <v>68100000</v>
      </c>
      <c r="K25" s="1">
        <v>40000204</v>
      </c>
      <c r="R25" s="3">
        <f t="shared" si="35"/>
        <v>107.99250000000001</v>
      </c>
      <c r="S25" s="50">
        <f t="shared" si="26"/>
        <v>107.99250000000001</v>
      </c>
      <c r="T25" s="3">
        <f t="shared" si="3"/>
        <v>2248.2075</v>
      </c>
      <c r="U25" s="3">
        <f t="shared" si="27"/>
        <v>235.62</v>
      </c>
      <c r="V25" s="3">
        <f t="shared" si="28"/>
        <v>343.61250000000001</v>
      </c>
      <c r="W25" s="3">
        <f t="shared" si="29"/>
        <v>2012.5874999999999</v>
      </c>
      <c r="X25" s="3">
        <f t="shared" si="20"/>
        <v>235.62</v>
      </c>
      <c r="Y25" s="3">
        <f t="shared" si="21"/>
        <v>579.23250000000007</v>
      </c>
      <c r="Z25" s="3">
        <f t="shared" si="22"/>
        <v>1776.9674999999997</v>
      </c>
      <c r="AA25" s="3">
        <f t="shared" si="23"/>
        <v>235.62</v>
      </c>
      <c r="AB25" s="3">
        <f t="shared" si="30"/>
        <v>814.85250000000008</v>
      </c>
      <c r="AC25" s="3">
        <f t="shared" si="25"/>
        <v>1541.3474999999999</v>
      </c>
      <c r="AD25" s="3">
        <f t="shared" si="6"/>
        <v>235.62</v>
      </c>
      <c r="AE25" s="3">
        <f t="shared" si="7"/>
        <v>1050.4725000000001</v>
      </c>
      <c r="AF25" s="3">
        <f t="shared" si="8"/>
        <v>1305.7274999999997</v>
      </c>
      <c r="AG25" s="62">
        <f t="shared" si="9"/>
        <v>235.62</v>
      </c>
      <c r="AH25" s="62"/>
      <c r="AI25" s="3">
        <f t="shared" si="10"/>
        <v>1286.0925000000002</v>
      </c>
      <c r="AJ25" s="62">
        <f t="shared" si="11"/>
        <v>1070.1074999999996</v>
      </c>
      <c r="AK25" s="62">
        <f t="shared" si="12"/>
        <v>235.62</v>
      </c>
      <c r="AL25" s="3">
        <f t="shared" si="32"/>
        <v>1521.7125000000001</v>
      </c>
      <c r="AM25" s="62">
        <f t="shared" si="14"/>
        <v>834.48749999999973</v>
      </c>
      <c r="AN25" s="62">
        <f t="shared" ref="AN25:AN27" si="38">ROUND(E25*0.1*46/365,2)</f>
        <v>29.69</v>
      </c>
      <c r="AO25" s="3">
        <f t="shared" si="16"/>
        <v>1551.4025000000001</v>
      </c>
      <c r="AP25" s="62">
        <f t="shared" si="17"/>
        <v>804.79749999999967</v>
      </c>
      <c r="AQ25" s="147" t="s">
        <v>342</v>
      </c>
    </row>
    <row r="26" spans="1:43" x14ac:dyDescent="0.25">
      <c r="A26">
        <v>424</v>
      </c>
      <c r="B26" s="112" t="s">
        <v>269</v>
      </c>
      <c r="C26" s="159">
        <v>109</v>
      </c>
      <c r="D26" s="4">
        <v>43291</v>
      </c>
      <c r="E26" s="110">
        <v>52.89</v>
      </c>
      <c r="F26" s="19">
        <v>0.1</v>
      </c>
      <c r="I26" s="1">
        <v>28160000</v>
      </c>
      <c r="J26" s="1">
        <v>68100000</v>
      </c>
      <c r="K26" s="1">
        <v>40000204</v>
      </c>
      <c r="R26" s="3">
        <f t="shared" si="35"/>
        <v>2.4241250000000001</v>
      </c>
      <c r="S26" s="50">
        <f t="shared" ref="S26:S27" si="39">P26+R26</f>
        <v>2.4241250000000001</v>
      </c>
      <c r="T26" s="3">
        <f t="shared" ref="T26:T27" si="40">E26-S26</f>
        <v>50.465874999999997</v>
      </c>
      <c r="U26" s="3">
        <f t="shared" si="27"/>
        <v>5.2890000000000006</v>
      </c>
      <c r="V26" s="3">
        <f t="shared" si="28"/>
        <v>7.7131250000000007</v>
      </c>
      <c r="W26" s="3">
        <f t="shared" si="29"/>
        <v>45.176875000000003</v>
      </c>
      <c r="X26" s="3">
        <f t="shared" si="20"/>
        <v>5.2890000000000006</v>
      </c>
      <c r="Y26" s="3">
        <f t="shared" si="21"/>
        <v>13.002125000000001</v>
      </c>
      <c r="Z26" s="3">
        <f t="shared" si="22"/>
        <v>39.887875000000001</v>
      </c>
      <c r="AA26" s="3">
        <f t="shared" si="23"/>
        <v>5.2890000000000006</v>
      </c>
      <c r="AB26" s="3">
        <f t="shared" si="30"/>
        <v>18.291125000000001</v>
      </c>
      <c r="AC26" s="3">
        <f t="shared" si="25"/>
        <v>34.598875</v>
      </c>
      <c r="AD26" s="3">
        <f t="shared" si="6"/>
        <v>5.2890000000000006</v>
      </c>
      <c r="AE26" s="3">
        <f t="shared" si="7"/>
        <v>23.580125000000002</v>
      </c>
      <c r="AF26" s="3">
        <f t="shared" si="8"/>
        <v>29.309874999999998</v>
      </c>
      <c r="AG26" s="62">
        <f t="shared" si="9"/>
        <v>5.2890000000000006</v>
      </c>
      <c r="AH26" s="62"/>
      <c r="AI26" s="3">
        <f t="shared" si="10"/>
        <v>28.869125000000004</v>
      </c>
      <c r="AJ26" s="62">
        <f t="shared" si="11"/>
        <v>24.020874999999997</v>
      </c>
      <c r="AK26" s="62">
        <f t="shared" si="12"/>
        <v>5.2890000000000006</v>
      </c>
      <c r="AL26" s="3">
        <f t="shared" si="32"/>
        <v>34.158125000000005</v>
      </c>
      <c r="AM26" s="62">
        <f t="shared" si="14"/>
        <v>18.731874999999995</v>
      </c>
      <c r="AN26" s="62">
        <f t="shared" si="38"/>
        <v>0.67</v>
      </c>
      <c r="AO26" s="3">
        <f t="shared" si="16"/>
        <v>34.828125000000007</v>
      </c>
      <c r="AP26" s="62">
        <f t="shared" si="17"/>
        <v>18.061874999999993</v>
      </c>
      <c r="AQ26" s="147" t="s">
        <v>342</v>
      </c>
    </row>
    <row r="27" spans="1:43" x14ac:dyDescent="0.25">
      <c r="A27">
        <v>424</v>
      </c>
      <c r="B27" s="112" t="s">
        <v>270</v>
      </c>
      <c r="C27" s="159">
        <v>110</v>
      </c>
      <c r="D27" s="4">
        <v>43291</v>
      </c>
      <c r="E27" s="110">
        <v>29.75</v>
      </c>
      <c r="F27" s="19">
        <v>0.1</v>
      </c>
      <c r="I27" s="1">
        <v>28160000</v>
      </c>
      <c r="J27" s="1">
        <v>68100000</v>
      </c>
      <c r="K27" s="1">
        <v>40000204</v>
      </c>
      <c r="R27" s="3">
        <f t="shared" si="35"/>
        <v>1.3635416666666667</v>
      </c>
      <c r="S27" s="50">
        <f t="shared" si="39"/>
        <v>1.3635416666666667</v>
      </c>
      <c r="T27" s="3">
        <f t="shared" si="40"/>
        <v>28.386458333333334</v>
      </c>
      <c r="U27" s="3">
        <f t="shared" si="27"/>
        <v>2.9750000000000001</v>
      </c>
      <c r="V27" s="3">
        <f t="shared" si="28"/>
        <v>4.338541666666667</v>
      </c>
      <c r="W27" s="3">
        <f t="shared" si="29"/>
        <v>25.411458333333332</v>
      </c>
      <c r="X27" s="3">
        <f t="shared" si="20"/>
        <v>2.9750000000000001</v>
      </c>
      <c r="Y27" s="3">
        <f t="shared" si="21"/>
        <v>7.3135416666666675</v>
      </c>
      <c r="Z27" s="3">
        <f t="shared" si="22"/>
        <v>22.436458333333334</v>
      </c>
      <c r="AA27" s="3">
        <f t="shared" si="23"/>
        <v>2.9750000000000001</v>
      </c>
      <c r="AB27" s="3">
        <f t="shared" si="30"/>
        <v>10.288541666666667</v>
      </c>
      <c r="AC27" s="3">
        <f t="shared" si="25"/>
        <v>19.461458333333333</v>
      </c>
      <c r="AD27" s="3">
        <f t="shared" si="6"/>
        <v>2.9750000000000001</v>
      </c>
      <c r="AE27" s="3">
        <f t="shared" si="7"/>
        <v>13.263541666666667</v>
      </c>
      <c r="AF27" s="3">
        <f t="shared" si="8"/>
        <v>16.486458333333331</v>
      </c>
      <c r="AG27" s="62">
        <f t="shared" si="9"/>
        <v>2.9750000000000001</v>
      </c>
      <c r="AH27" s="62"/>
      <c r="AI27" s="3">
        <f t="shared" si="10"/>
        <v>16.238541666666666</v>
      </c>
      <c r="AJ27" s="62">
        <f t="shared" si="11"/>
        <v>13.511458333333334</v>
      </c>
      <c r="AK27" s="62">
        <f t="shared" si="12"/>
        <v>2.9750000000000001</v>
      </c>
      <c r="AL27" s="3">
        <f t="shared" si="32"/>
        <v>19.213541666666668</v>
      </c>
      <c r="AM27" s="62">
        <f t="shared" si="14"/>
        <v>10.536458333333332</v>
      </c>
      <c r="AN27" s="62">
        <f t="shared" si="38"/>
        <v>0.37</v>
      </c>
      <c r="AO27" s="3">
        <f t="shared" si="16"/>
        <v>19.583541666666669</v>
      </c>
      <c r="AP27" s="62">
        <f t="shared" si="17"/>
        <v>10.166458333333331</v>
      </c>
      <c r="AQ27" s="147" t="s">
        <v>342</v>
      </c>
    </row>
    <row r="28" spans="1:43" x14ac:dyDescent="0.25">
      <c r="A28">
        <v>425</v>
      </c>
      <c r="B28" s="112" t="s">
        <v>277</v>
      </c>
      <c r="C28" s="105">
        <v>111</v>
      </c>
      <c r="D28" s="4">
        <v>43292</v>
      </c>
      <c r="E28" s="110">
        <v>293</v>
      </c>
      <c r="F28" s="19">
        <v>0.1</v>
      </c>
      <c r="I28" s="1">
        <v>28160000</v>
      </c>
      <c r="J28" s="1">
        <v>68100000</v>
      </c>
      <c r="K28" s="1">
        <v>40000201</v>
      </c>
      <c r="R28" s="3">
        <f t="shared" ref="R28:R40" si="41">(E28*F28)/12*5.5</f>
        <v>13.429166666666667</v>
      </c>
      <c r="S28" s="50">
        <f t="shared" ref="S28:S40" si="42">P28+R28</f>
        <v>13.429166666666667</v>
      </c>
      <c r="T28" s="3">
        <f t="shared" ref="T28:T40" si="43">E28-S28</f>
        <v>279.57083333333333</v>
      </c>
      <c r="U28" s="3">
        <f t="shared" si="27"/>
        <v>29.3</v>
      </c>
      <c r="V28" s="3">
        <f t="shared" si="28"/>
        <v>42.729166666666671</v>
      </c>
      <c r="W28" s="3">
        <f t="shared" si="29"/>
        <v>250.27083333333331</v>
      </c>
      <c r="X28" s="3">
        <f t="shared" si="20"/>
        <v>29.3</v>
      </c>
      <c r="Y28" s="3">
        <f t="shared" si="21"/>
        <v>72.029166666666669</v>
      </c>
      <c r="Z28" s="3">
        <f t="shared" si="22"/>
        <v>220.97083333333333</v>
      </c>
      <c r="AA28" s="3">
        <f t="shared" si="23"/>
        <v>29.3</v>
      </c>
      <c r="AB28" s="3">
        <f t="shared" si="30"/>
        <v>101.32916666666667</v>
      </c>
      <c r="AC28" s="3">
        <f t="shared" si="25"/>
        <v>191.67083333333335</v>
      </c>
      <c r="AD28" s="3">
        <f t="shared" si="6"/>
        <v>29.3</v>
      </c>
      <c r="AE28" s="3">
        <f t="shared" si="7"/>
        <v>130.62916666666666</v>
      </c>
      <c r="AF28" s="3">
        <f t="shared" si="8"/>
        <v>162.37083333333334</v>
      </c>
      <c r="AG28" s="62">
        <f t="shared" si="9"/>
        <v>29.3</v>
      </c>
      <c r="AH28" s="62"/>
      <c r="AI28" s="3">
        <f t="shared" si="10"/>
        <v>159.92916666666667</v>
      </c>
      <c r="AJ28" s="62">
        <f t="shared" si="11"/>
        <v>133.07083333333333</v>
      </c>
      <c r="AK28" s="62">
        <f t="shared" si="12"/>
        <v>29.3</v>
      </c>
      <c r="AL28" s="3">
        <f t="shared" si="32"/>
        <v>189.22916666666669</v>
      </c>
      <c r="AM28" s="62">
        <f t="shared" si="14"/>
        <v>103.77083333333331</v>
      </c>
      <c r="AN28" s="62">
        <f t="shared" si="15"/>
        <v>29.3</v>
      </c>
      <c r="AO28" s="3">
        <f t="shared" si="16"/>
        <v>218.5291666666667</v>
      </c>
      <c r="AP28" s="62">
        <f t="shared" si="17"/>
        <v>74.470833333333303</v>
      </c>
    </row>
    <row r="29" spans="1:43" x14ac:dyDescent="0.25">
      <c r="A29">
        <v>425</v>
      </c>
      <c r="B29" s="112" t="s">
        <v>278</v>
      </c>
      <c r="C29" s="159">
        <v>112</v>
      </c>
      <c r="D29" s="4">
        <v>43292</v>
      </c>
      <c r="E29" s="110">
        <v>498</v>
      </c>
      <c r="F29" s="19">
        <v>0.1</v>
      </c>
      <c r="I29" s="1">
        <v>28160000</v>
      </c>
      <c r="J29" s="1">
        <v>68100000</v>
      </c>
      <c r="K29" s="1">
        <v>40000201</v>
      </c>
      <c r="R29" s="3">
        <f t="shared" si="41"/>
        <v>22.825000000000003</v>
      </c>
      <c r="S29" s="50">
        <f t="shared" si="42"/>
        <v>22.825000000000003</v>
      </c>
      <c r="T29" s="3">
        <f t="shared" si="43"/>
        <v>475.17500000000001</v>
      </c>
      <c r="U29" s="3">
        <f t="shared" si="27"/>
        <v>49.800000000000004</v>
      </c>
      <c r="V29" s="3">
        <f t="shared" si="28"/>
        <v>72.625</v>
      </c>
      <c r="W29" s="3">
        <f t="shared" si="29"/>
        <v>425.375</v>
      </c>
      <c r="X29" s="3">
        <f t="shared" si="20"/>
        <v>49.800000000000004</v>
      </c>
      <c r="Y29" s="3">
        <f t="shared" si="21"/>
        <v>122.42500000000001</v>
      </c>
      <c r="Z29" s="3">
        <f t="shared" si="22"/>
        <v>375.57499999999999</v>
      </c>
      <c r="AA29" s="3">
        <f t="shared" si="23"/>
        <v>49.800000000000004</v>
      </c>
      <c r="AB29" s="3">
        <f t="shared" si="30"/>
        <v>172.22500000000002</v>
      </c>
      <c r="AC29" s="3">
        <f t="shared" si="25"/>
        <v>325.77499999999998</v>
      </c>
      <c r="AD29" s="3">
        <f t="shared" si="6"/>
        <v>49.800000000000004</v>
      </c>
      <c r="AE29" s="3">
        <f t="shared" si="7"/>
        <v>222.02500000000003</v>
      </c>
      <c r="AF29" s="3">
        <f t="shared" si="8"/>
        <v>275.97499999999997</v>
      </c>
      <c r="AG29" s="62">
        <f t="shared" si="9"/>
        <v>49.800000000000004</v>
      </c>
      <c r="AH29" s="62"/>
      <c r="AI29" s="3">
        <f t="shared" si="10"/>
        <v>271.82500000000005</v>
      </c>
      <c r="AJ29" s="62">
        <f t="shared" si="11"/>
        <v>226.17499999999995</v>
      </c>
      <c r="AK29" s="62">
        <f t="shared" si="12"/>
        <v>49.800000000000004</v>
      </c>
      <c r="AL29" s="3">
        <f t="shared" si="32"/>
        <v>321.62500000000006</v>
      </c>
      <c r="AM29" s="62">
        <f t="shared" si="14"/>
        <v>176.37499999999994</v>
      </c>
      <c r="AN29" s="33">
        <f t="shared" ref="AN29:AN37" si="44">ROUND(E29*0.1*300/365,2)</f>
        <v>40.93</v>
      </c>
      <c r="AO29" s="3">
        <f t="shared" si="16"/>
        <v>362.55500000000006</v>
      </c>
      <c r="AP29" s="33">
        <f t="shared" si="17"/>
        <v>135.44499999999994</v>
      </c>
      <c r="AQ29" s="154" t="s">
        <v>343</v>
      </c>
    </row>
    <row r="30" spans="1:43" x14ac:dyDescent="0.25">
      <c r="A30">
        <v>425</v>
      </c>
      <c r="B30" s="112" t="s">
        <v>277</v>
      </c>
      <c r="C30" s="159">
        <v>113</v>
      </c>
      <c r="D30" s="4">
        <v>43292</v>
      </c>
      <c r="E30" s="110">
        <v>293</v>
      </c>
      <c r="F30" s="19">
        <v>0.1</v>
      </c>
      <c r="I30" s="1">
        <v>28160000</v>
      </c>
      <c r="J30" s="1">
        <v>68100000</v>
      </c>
      <c r="K30" s="1">
        <v>40000201</v>
      </c>
      <c r="R30" s="3">
        <f t="shared" si="41"/>
        <v>13.429166666666667</v>
      </c>
      <c r="S30" s="50">
        <f t="shared" si="42"/>
        <v>13.429166666666667</v>
      </c>
      <c r="T30" s="3">
        <f t="shared" si="43"/>
        <v>279.57083333333333</v>
      </c>
      <c r="U30" s="3">
        <f t="shared" si="27"/>
        <v>29.3</v>
      </c>
      <c r="V30" s="3">
        <f t="shared" si="28"/>
        <v>42.729166666666671</v>
      </c>
      <c r="W30" s="3">
        <f t="shared" si="29"/>
        <v>250.27083333333331</v>
      </c>
      <c r="X30" s="3">
        <f t="shared" si="20"/>
        <v>29.3</v>
      </c>
      <c r="Y30" s="3">
        <f t="shared" si="21"/>
        <v>72.029166666666669</v>
      </c>
      <c r="Z30" s="3">
        <f t="shared" si="22"/>
        <v>220.97083333333333</v>
      </c>
      <c r="AA30" s="3">
        <f t="shared" si="23"/>
        <v>29.3</v>
      </c>
      <c r="AB30" s="3">
        <f t="shared" si="30"/>
        <v>101.32916666666667</v>
      </c>
      <c r="AC30" s="3">
        <f t="shared" si="25"/>
        <v>191.67083333333335</v>
      </c>
      <c r="AD30" s="3">
        <f t="shared" si="6"/>
        <v>29.3</v>
      </c>
      <c r="AE30" s="3">
        <f t="shared" si="7"/>
        <v>130.62916666666666</v>
      </c>
      <c r="AF30" s="3">
        <f t="shared" si="8"/>
        <v>162.37083333333334</v>
      </c>
      <c r="AG30" s="62">
        <f t="shared" si="9"/>
        <v>29.3</v>
      </c>
      <c r="AH30" s="62"/>
      <c r="AI30" s="3">
        <f t="shared" si="10"/>
        <v>159.92916666666667</v>
      </c>
      <c r="AJ30" s="62">
        <f t="shared" si="11"/>
        <v>133.07083333333333</v>
      </c>
      <c r="AK30" s="62">
        <f t="shared" si="12"/>
        <v>29.3</v>
      </c>
      <c r="AL30" s="3">
        <f t="shared" si="32"/>
        <v>189.22916666666669</v>
      </c>
      <c r="AM30" s="62">
        <f t="shared" si="14"/>
        <v>103.77083333333331</v>
      </c>
      <c r="AN30" s="33">
        <f t="shared" si="44"/>
        <v>24.08</v>
      </c>
      <c r="AO30" s="3">
        <f t="shared" si="16"/>
        <v>213.30916666666667</v>
      </c>
      <c r="AP30" s="33">
        <f t="shared" si="17"/>
        <v>79.69083333333333</v>
      </c>
      <c r="AQ30" s="154" t="s">
        <v>343</v>
      </c>
    </row>
    <row r="31" spans="1:43" x14ac:dyDescent="0.25">
      <c r="A31">
        <v>425</v>
      </c>
      <c r="B31" s="112" t="s">
        <v>279</v>
      </c>
      <c r="C31" s="159">
        <v>114</v>
      </c>
      <c r="D31" s="4">
        <v>43292</v>
      </c>
      <c r="E31" s="110">
        <v>249</v>
      </c>
      <c r="F31" s="19">
        <v>0.1</v>
      </c>
      <c r="I31" s="1">
        <v>28160000</v>
      </c>
      <c r="J31" s="1">
        <v>68100000</v>
      </c>
      <c r="K31" s="1">
        <v>40000201</v>
      </c>
      <c r="R31" s="3">
        <f t="shared" si="41"/>
        <v>11.412500000000001</v>
      </c>
      <c r="S31" s="50">
        <f t="shared" si="42"/>
        <v>11.412500000000001</v>
      </c>
      <c r="T31" s="3">
        <f t="shared" si="43"/>
        <v>237.58750000000001</v>
      </c>
      <c r="U31" s="3">
        <f t="shared" si="27"/>
        <v>24.900000000000002</v>
      </c>
      <c r="V31" s="3">
        <f t="shared" si="28"/>
        <v>36.3125</v>
      </c>
      <c r="W31" s="3">
        <f t="shared" si="29"/>
        <v>212.6875</v>
      </c>
      <c r="X31" s="3">
        <f t="shared" si="20"/>
        <v>24.900000000000002</v>
      </c>
      <c r="Y31" s="3">
        <f t="shared" si="21"/>
        <v>61.212500000000006</v>
      </c>
      <c r="Z31" s="3">
        <f t="shared" si="22"/>
        <v>187.78749999999999</v>
      </c>
      <c r="AA31" s="3">
        <f t="shared" si="23"/>
        <v>24.900000000000002</v>
      </c>
      <c r="AB31" s="3">
        <f t="shared" si="30"/>
        <v>86.112500000000011</v>
      </c>
      <c r="AC31" s="3">
        <f t="shared" si="25"/>
        <v>162.88749999999999</v>
      </c>
      <c r="AD31" s="3">
        <f t="shared" si="6"/>
        <v>24.900000000000002</v>
      </c>
      <c r="AE31" s="3">
        <f t="shared" si="7"/>
        <v>111.01250000000002</v>
      </c>
      <c r="AF31" s="3">
        <f t="shared" si="8"/>
        <v>137.98749999999998</v>
      </c>
      <c r="AG31" s="62">
        <f t="shared" si="9"/>
        <v>24.900000000000002</v>
      </c>
      <c r="AH31" s="62"/>
      <c r="AI31" s="3">
        <f t="shared" si="10"/>
        <v>135.91250000000002</v>
      </c>
      <c r="AJ31" s="62">
        <f t="shared" si="11"/>
        <v>113.08749999999998</v>
      </c>
      <c r="AK31" s="62">
        <f t="shared" si="12"/>
        <v>24.900000000000002</v>
      </c>
      <c r="AL31" s="3">
        <f t="shared" si="32"/>
        <v>160.81250000000003</v>
      </c>
      <c r="AM31" s="62">
        <f t="shared" si="14"/>
        <v>88.187499999999972</v>
      </c>
      <c r="AN31" s="33">
        <f t="shared" si="44"/>
        <v>20.47</v>
      </c>
      <c r="AO31" s="3">
        <f t="shared" si="16"/>
        <v>181.28250000000003</v>
      </c>
      <c r="AP31" s="33">
        <f t="shared" si="17"/>
        <v>67.717499999999973</v>
      </c>
      <c r="AQ31" s="154" t="s">
        <v>343</v>
      </c>
    </row>
    <row r="32" spans="1:43" x14ac:dyDescent="0.25">
      <c r="A32">
        <v>425</v>
      </c>
      <c r="B32" s="112" t="s">
        <v>280</v>
      </c>
      <c r="C32" s="159">
        <v>115</v>
      </c>
      <c r="D32" s="4">
        <v>43292</v>
      </c>
      <c r="E32" s="110">
        <v>586</v>
      </c>
      <c r="F32" s="19">
        <v>0.1</v>
      </c>
      <c r="I32" s="1">
        <v>28160000</v>
      </c>
      <c r="J32" s="1">
        <v>68100000</v>
      </c>
      <c r="K32" s="1">
        <v>40000201</v>
      </c>
      <c r="R32" s="3">
        <f t="shared" si="41"/>
        <v>26.858333333333334</v>
      </c>
      <c r="S32" s="50">
        <f t="shared" si="42"/>
        <v>26.858333333333334</v>
      </c>
      <c r="T32" s="3">
        <f t="shared" si="43"/>
        <v>559.14166666666665</v>
      </c>
      <c r="U32" s="3">
        <f t="shared" si="27"/>
        <v>58.6</v>
      </c>
      <c r="V32" s="3">
        <f t="shared" si="28"/>
        <v>85.458333333333343</v>
      </c>
      <c r="W32" s="3">
        <f t="shared" si="29"/>
        <v>500.54166666666663</v>
      </c>
      <c r="X32" s="3">
        <f t="shared" si="20"/>
        <v>58.6</v>
      </c>
      <c r="Y32" s="3">
        <f t="shared" si="21"/>
        <v>144.05833333333334</v>
      </c>
      <c r="Z32" s="3">
        <f t="shared" si="22"/>
        <v>441.94166666666666</v>
      </c>
      <c r="AA32" s="3">
        <f t="shared" si="23"/>
        <v>58.6</v>
      </c>
      <c r="AB32" s="3">
        <f t="shared" si="30"/>
        <v>202.65833333333333</v>
      </c>
      <c r="AC32" s="3">
        <f t="shared" si="25"/>
        <v>383.3416666666667</v>
      </c>
      <c r="AD32" s="3">
        <f t="shared" si="6"/>
        <v>58.6</v>
      </c>
      <c r="AE32" s="3">
        <f t="shared" si="7"/>
        <v>261.25833333333333</v>
      </c>
      <c r="AF32" s="3">
        <f t="shared" si="8"/>
        <v>324.74166666666667</v>
      </c>
      <c r="AG32" s="62">
        <f t="shared" si="9"/>
        <v>58.6</v>
      </c>
      <c r="AH32" s="62"/>
      <c r="AI32" s="3">
        <f t="shared" si="10"/>
        <v>319.85833333333335</v>
      </c>
      <c r="AJ32" s="62">
        <f t="shared" si="11"/>
        <v>266.14166666666665</v>
      </c>
      <c r="AK32" s="62">
        <f t="shared" si="12"/>
        <v>58.6</v>
      </c>
      <c r="AL32" s="3">
        <f t="shared" si="32"/>
        <v>378.45833333333337</v>
      </c>
      <c r="AM32" s="62">
        <f t="shared" si="14"/>
        <v>207.54166666666663</v>
      </c>
      <c r="AN32" s="33">
        <f t="shared" si="44"/>
        <v>48.16</v>
      </c>
      <c r="AO32" s="3">
        <f t="shared" si="16"/>
        <v>426.61833333333334</v>
      </c>
      <c r="AP32" s="33">
        <f t="shared" si="17"/>
        <v>159.38166666666666</v>
      </c>
      <c r="AQ32" s="154" t="s">
        <v>343</v>
      </c>
    </row>
    <row r="33" spans="1:43" x14ac:dyDescent="0.25">
      <c r="A33">
        <v>425</v>
      </c>
      <c r="B33" s="112" t="s">
        <v>281</v>
      </c>
      <c r="C33" s="159">
        <v>116</v>
      </c>
      <c r="D33" s="4">
        <v>43292</v>
      </c>
      <c r="E33" s="110">
        <v>368</v>
      </c>
      <c r="F33" s="19">
        <v>0.1</v>
      </c>
      <c r="I33" s="1">
        <v>28160000</v>
      </c>
      <c r="J33" s="1">
        <v>68100000</v>
      </c>
      <c r="K33" s="1">
        <v>40000201</v>
      </c>
      <c r="R33" s="3">
        <f t="shared" si="41"/>
        <v>16.866666666666667</v>
      </c>
      <c r="S33" s="50">
        <f t="shared" si="42"/>
        <v>16.866666666666667</v>
      </c>
      <c r="T33" s="3">
        <f t="shared" si="43"/>
        <v>351.13333333333333</v>
      </c>
      <c r="U33" s="3">
        <f t="shared" si="27"/>
        <v>36.800000000000004</v>
      </c>
      <c r="V33" s="3">
        <f t="shared" si="28"/>
        <v>53.666666666666671</v>
      </c>
      <c r="W33" s="3">
        <f t="shared" si="29"/>
        <v>314.33333333333331</v>
      </c>
      <c r="X33" s="3">
        <f t="shared" si="20"/>
        <v>36.800000000000004</v>
      </c>
      <c r="Y33" s="3">
        <f t="shared" si="21"/>
        <v>90.466666666666669</v>
      </c>
      <c r="Z33" s="3">
        <f t="shared" si="22"/>
        <v>277.5333333333333</v>
      </c>
      <c r="AA33" s="3">
        <f t="shared" si="23"/>
        <v>36.800000000000004</v>
      </c>
      <c r="AB33" s="3">
        <f t="shared" si="30"/>
        <v>127.26666666666668</v>
      </c>
      <c r="AC33" s="3">
        <f t="shared" si="25"/>
        <v>240.73333333333332</v>
      </c>
      <c r="AD33" s="3">
        <f t="shared" si="6"/>
        <v>36.800000000000004</v>
      </c>
      <c r="AE33" s="3">
        <f t="shared" si="7"/>
        <v>164.06666666666669</v>
      </c>
      <c r="AF33" s="3">
        <f t="shared" si="8"/>
        <v>203.93333333333331</v>
      </c>
      <c r="AG33" s="62">
        <f t="shared" si="9"/>
        <v>36.800000000000004</v>
      </c>
      <c r="AH33" s="62"/>
      <c r="AI33" s="3">
        <f t="shared" si="10"/>
        <v>200.8666666666667</v>
      </c>
      <c r="AJ33" s="62">
        <f t="shared" si="11"/>
        <v>167.1333333333333</v>
      </c>
      <c r="AK33" s="62">
        <f t="shared" si="12"/>
        <v>36.800000000000004</v>
      </c>
      <c r="AL33" s="3">
        <f t="shared" si="32"/>
        <v>237.66666666666671</v>
      </c>
      <c r="AM33" s="62">
        <f t="shared" si="14"/>
        <v>130.33333333333329</v>
      </c>
      <c r="AN33" s="33">
        <f t="shared" si="44"/>
        <v>30.25</v>
      </c>
      <c r="AO33" s="3">
        <f t="shared" si="16"/>
        <v>267.91666666666674</v>
      </c>
      <c r="AP33" s="33">
        <f t="shared" si="17"/>
        <v>100.08333333333326</v>
      </c>
      <c r="AQ33" s="154" t="s">
        <v>343</v>
      </c>
    </row>
    <row r="34" spans="1:43" x14ac:dyDescent="0.25">
      <c r="A34">
        <v>425</v>
      </c>
      <c r="B34" s="112" t="s">
        <v>282</v>
      </c>
      <c r="C34" s="159">
        <v>117</v>
      </c>
      <c r="D34" s="4">
        <v>43292</v>
      </c>
      <c r="E34" s="110">
        <v>59.6</v>
      </c>
      <c r="F34" s="19">
        <v>0.1</v>
      </c>
      <c r="I34" s="1">
        <v>28160000</v>
      </c>
      <c r="J34" s="1">
        <v>68100000</v>
      </c>
      <c r="K34" s="1">
        <v>40000201</v>
      </c>
      <c r="R34" s="3">
        <f t="shared" si="41"/>
        <v>2.7316666666666674</v>
      </c>
      <c r="S34" s="50">
        <f t="shared" si="42"/>
        <v>2.7316666666666674</v>
      </c>
      <c r="T34" s="3">
        <f t="shared" si="43"/>
        <v>56.868333333333332</v>
      </c>
      <c r="U34" s="3">
        <f t="shared" si="27"/>
        <v>5.9600000000000009</v>
      </c>
      <c r="V34" s="3">
        <f t="shared" si="28"/>
        <v>8.6916666666666682</v>
      </c>
      <c r="W34" s="3">
        <f t="shared" si="29"/>
        <v>50.908333333333331</v>
      </c>
      <c r="X34" s="3">
        <f t="shared" si="20"/>
        <v>5.9600000000000009</v>
      </c>
      <c r="Y34" s="3">
        <f t="shared" si="21"/>
        <v>14.651666666666669</v>
      </c>
      <c r="Z34" s="3">
        <f t="shared" si="22"/>
        <v>44.948333333333331</v>
      </c>
      <c r="AA34" s="3">
        <f t="shared" si="23"/>
        <v>5.9600000000000009</v>
      </c>
      <c r="AB34" s="3">
        <f t="shared" si="30"/>
        <v>20.611666666666672</v>
      </c>
      <c r="AC34" s="3">
        <f t="shared" si="25"/>
        <v>38.98833333333333</v>
      </c>
      <c r="AD34" s="3">
        <f t="shared" si="6"/>
        <v>5.9600000000000009</v>
      </c>
      <c r="AE34" s="3">
        <f t="shared" si="7"/>
        <v>26.571666666666673</v>
      </c>
      <c r="AF34" s="3">
        <f t="shared" si="8"/>
        <v>33.028333333333329</v>
      </c>
      <c r="AG34" s="62">
        <f t="shared" si="9"/>
        <v>5.9600000000000009</v>
      </c>
      <c r="AH34" s="62"/>
      <c r="AI34" s="3">
        <f t="shared" si="10"/>
        <v>32.531666666666673</v>
      </c>
      <c r="AJ34" s="62">
        <f t="shared" si="11"/>
        <v>27.068333333333328</v>
      </c>
      <c r="AK34" s="62">
        <f t="shared" si="12"/>
        <v>5.9600000000000009</v>
      </c>
      <c r="AL34" s="3">
        <f t="shared" si="32"/>
        <v>38.491666666666674</v>
      </c>
      <c r="AM34" s="62">
        <f t="shared" si="14"/>
        <v>21.108333333333327</v>
      </c>
      <c r="AN34" s="33">
        <f t="shared" si="44"/>
        <v>4.9000000000000004</v>
      </c>
      <c r="AO34" s="3">
        <f t="shared" si="16"/>
        <v>43.391666666666673</v>
      </c>
      <c r="AP34" s="33">
        <f t="shared" si="17"/>
        <v>16.208333333333329</v>
      </c>
      <c r="AQ34" s="154" t="s">
        <v>343</v>
      </c>
    </row>
    <row r="35" spans="1:43" x14ac:dyDescent="0.25">
      <c r="A35">
        <v>425</v>
      </c>
      <c r="B35" s="112" t="s">
        <v>283</v>
      </c>
      <c r="C35" s="159">
        <v>118</v>
      </c>
      <c r="D35" s="4">
        <v>43292</v>
      </c>
      <c r="E35" s="110">
        <v>77.92</v>
      </c>
      <c r="F35" s="19">
        <v>0.1</v>
      </c>
      <c r="I35" s="1">
        <v>28160000</v>
      </c>
      <c r="J35" s="1">
        <v>68100000</v>
      </c>
      <c r="K35" s="1">
        <v>40000201</v>
      </c>
      <c r="R35" s="3">
        <f t="shared" si="41"/>
        <v>3.5713333333333339</v>
      </c>
      <c r="S35" s="50">
        <f t="shared" si="42"/>
        <v>3.5713333333333339</v>
      </c>
      <c r="T35" s="3">
        <f t="shared" si="43"/>
        <v>74.348666666666674</v>
      </c>
      <c r="U35" s="3">
        <f t="shared" si="27"/>
        <v>7.7920000000000007</v>
      </c>
      <c r="V35" s="3">
        <f t="shared" si="28"/>
        <v>11.363333333333335</v>
      </c>
      <c r="W35" s="3">
        <f t="shared" si="29"/>
        <v>66.556666666666672</v>
      </c>
      <c r="X35" s="3">
        <f t="shared" si="20"/>
        <v>7.7920000000000007</v>
      </c>
      <c r="Y35" s="3">
        <f t="shared" si="21"/>
        <v>19.155333333333335</v>
      </c>
      <c r="Z35" s="3">
        <f t="shared" si="22"/>
        <v>58.76466666666667</v>
      </c>
      <c r="AA35" s="3">
        <f t="shared" si="23"/>
        <v>7.7920000000000007</v>
      </c>
      <c r="AB35" s="3">
        <f t="shared" si="30"/>
        <v>26.947333333333336</v>
      </c>
      <c r="AC35" s="3">
        <f t="shared" si="25"/>
        <v>50.972666666666669</v>
      </c>
      <c r="AD35" s="3">
        <f t="shared" si="6"/>
        <v>7.7920000000000007</v>
      </c>
      <c r="AE35" s="3">
        <f t="shared" si="7"/>
        <v>34.739333333333335</v>
      </c>
      <c r="AF35" s="3">
        <f t="shared" si="8"/>
        <v>43.180666666666667</v>
      </c>
      <c r="AG35" s="62">
        <f t="shared" si="9"/>
        <v>7.7920000000000007</v>
      </c>
      <c r="AH35" s="62"/>
      <c r="AI35" s="3">
        <f t="shared" si="10"/>
        <v>42.531333333333336</v>
      </c>
      <c r="AJ35" s="62">
        <f t="shared" si="11"/>
        <v>35.388666666666666</v>
      </c>
      <c r="AK35" s="62">
        <f t="shared" si="12"/>
        <v>7.7920000000000007</v>
      </c>
      <c r="AL35" s="3">
        <f t="shared" si="32"/>
        <v>50.323333333333338</v>
      </c>
      <c r="AM35" s="62">
        <f t="shared" si="14"/>
        <v>27.596666666666664</v>
      </c>
      <c r="AN35" s="33">
        <f t="shared" si="44"/>
        <v>6.4</v>
      </c>
      <c r="AO35" s="3">
        <f t="shared" si="16"/>
        <v>56.723333333333336</v>
      </c>
      <c r="AP35" s="33">
        <f t="shared" si="17"/>
        <v>21.196666666666665</v>
      </c>
      <c r="AQ35" s="154" t="s">
        <v>343</v>
      </c>
    </row>
    <row r="36" spans="1:43" x14ac:dyDescent="0.25">
      <c r="A36">
        <v>425</v>
      </c>
      <c r="B36" s="112" t="s">
        <v>284</v>
      </c>
      <c r="C36" s="159">
        <v>120</v>
      </c>
      <c r="D36" s="4">
        <v>43292</v>
      </c>
      <c r="E36" s="110">
        <v>369.6</v>
      </c>
      <c r="F36" s="19">
        <v>0.1</v>
      </c>
      <c r="I36" s="1">
        <v>28160000</v>
      </c>
      <c r="J36" s="1">
        <v>68100000</v>
      </c>
      <c r="K36" s="1">
        <v>40000201</v>
      </c>
      <c r="R36" s="3">
        <f t="shared" si="41"/>
        <v>16.940000000000001</v>
      </c>
      <c r="S36" s="50">
        <f t="shared" si="42"/>
        <v>16.940000000000001</v>
      </c>
      <c r="T36" s="3">
        <f t="shared" si="43"/>
        <v>352.66</v>
      </c>
      <c r="U36" s="3">
        <f t="shared" si="27"/>
        <v>36.96</v>
      </c>
      <c r="V36" s="3">
        <f t="shared" si="28"/>
        <v>53.900000000000006</v>
      </c>
      <c r="W36" s="3">
        <f t="shared" si="29"/>
        <v>315.70000000000005</v>
      </c>
      <c r="X36" s="3">
        <f t="shared" si="20"/>
        <v>36.96</v>
      </c>
      <c r="Y36" s="3">
        <f t="shared" si="21"/>
        <v>90.860000000000014</v>
      </c>
      <c r="Z36" s="3">
        <f t="shared" si="22"/>
        <v>278.74</v>
      </c>
      <c r="AA36" s="3">
        <f t="shared" si="23"/>
        <v>36.96</v>
      </c>
      <c r="AB36" s="3">
        <f t="shared" si="30"/>
        <v>127.82000000000002</v>
      </c>
      <c r="AC36" s="3">
        <f t="shared" si="25"/>
        <v>241.78</v>
      </c>
      <c r="AD36" s="3">
        <f t="shared" si="6"/>
        <v>36.96</v>
      </c>
      <c r="AE36" s="3">
        <f t="shared" si="7"/>
        <v>164.78000000000003</v>
      </c>
      <c r="AF36" s="3">
        <f t="shared" si="8"/>
        <v>204.82</v>
      </c>
      <c r="AG36" s="62">
        <f t="shared" si="9"/>
        <v>36.96</v>
      </c>
      <c r="AH36" s="62"/>
      <c r="AI36" s="3">
        <f t="shared" si="10"/>
        <v>201.74000000000004</v>
      </c>
      <c r="AJ36" s="62">
        <f t="shared" si="11"/>
        <v>167.85999999999999</v>
      </c>
      <c r="AK36" s="62">
        <f t="shared" si="12"/>
        <v>36.96</v>
      </c>
      <c r="AL36" s="3">
        <f t="shared" si="32"/>
        <v>238.70000000000005</v>
      </c>
      <c r="AM36" s="62">
        <f t="shared" si="14"/>
        <v>130.89999999999998</v>
      </c>
      <c r="AN36" s="33">
        <f t="shared" si="44"/>
        <v>30.38</v>
      </c>
      <c r="AO36" s="3">
        <f t="shared" si="16"/>
        <v>269.08000000000004</v>
      </c>
      <c r="AP36" s="33">
        <f t="shared" si="17"/>
        <v>100.51999999999998</v>
      </c>
      <c r="AQ36" s="154" t="s">
        <v>343</v>
      </c>
    </row>
    <row r="37" spans="1:43" x14ac:dyDescent="0.25">
      <c r="A37">
        <v>425</v>
      </c>
      <c r="B37" s="112" t="s">
        <v>285</v>
      </c>
      <c r="C37" s="159">
        <v>122</v>
      </c>
      <c r="D37" s="4">
        <v>43292</v>
      </c>
      <c r="E37" s="110">
        <v>1875</v>
      </c>
      <c r="F37" s="19">
        <v>0.1</v>
      </c>
      <c r="I37" s="1">
        <v>28160000</v>
      </c>
      <c r="J37" s="1">
        <v>68100000</v>
      </c>
      <c r="K37" s="1">
        <v>40000201</v>
      </c>
      <c r="R37" s="3">
        <f t="shared" si="41"/>
        <v>85.9375</v>
      </c>
      <c r="S37" s="50">
        <f t="shared" si="42"/>
        <v>85.9375</v>
      </c>
      <c r="T37" s="3">
        <f t="shared" si="43"/>
        <v>1789.0625</v>
      </c>
      <c r="U37" s="3">
        <f t="shared" si="27"/>
        <v>187.5</v>
      </c>
      <c r="V37" s="3">
        <f t="shared" si="28"/>
        <v>273.4375</v>
      </c>
      <c r="W37" s="3">
        <f t="shared" si="29"/>
        <v>1601.5625</v>
      </c>
      <c r="X37" s="3">
        <f t="shared" si="20"/>
        <v>187.5</v>
      </c>
      <c r="Y37" s="3">
        <f t="shared" si="21"/>
        <v>460.9375</v>
      </c>
      <c r="Z37" s="3">
        <f t="shared" si="22"/>
        <v>1414.0625</v>
      </c>
      <c r="AA37" s="3">
        <f t="shared" si="23"/>
        <v>187.5</v>
      </c>
      <c r="AB37" s="3">
        <f t="shared" si="30"/>
        <v>648.4375</v>
      </c>
      <c r="AC37" s="3">
        <f t="shared" si="25"/>
        <v>1226.5625</v>
      </c>
      <c r="AD37" s="3">
        <f t="shared" si="6"/>
        <v>187.5</v>
      </c>
      <c r="AE37" s="3">
        <f t="shared" si="7"/>
        <v>835.9375</v>
      </c>
      <c r="AF37" s="3">
        <f t="shared" si="8"/>
        <v>1039.0625</v>
      </c>
      <c r="AG37" s="62">
        <f t="shared" si="9"/>
        <v>187.5</v>
      </c>
      <c r="AH37" s="62"/>
      <c r="AI37" s="3">
        <f t="shared" si="10"/>
        <v>1023.4375</v>
      </c>
      <c r="AJ37" s="62">
        <f t="shared" si="11"/>
        <v>851.5625</v>
      </c>
      <c r="AK37" s="62">
        <f t="shared" si="12"/>
        <v>187.5</v>
      </c>
      <c r="AL37" s="3">
        <f t="shared" si="32"/>
        <v>1210.9375</v>
      </c>
      <c r="AM37" s="62">
        <f t="shared" si="14"/>
        <v>664.0625</v>
      </c>
      <c r="AN37" s="33">
        <f t="shared" si="44"/>
        <v>154.11000000000001</v>
      </c>
      <c r="AO37" s="3">
        <f t="shared" si="16"/>
        <v>1365.0475000000001</v>
      </c>
      <c r="AP37" s="33">
        <f t="shared" si="17"/>
        <v>509.95249999999987</v>
      </c>
      <c r="AQ37" s="154" t="s">
        <v>343</v>
      </c>
    </row>
    <row r="38" spans="1:43" x14ac:dyDescent="0.25">
      <c r="A38">
        <v>425</v>
      </c>
      <c r="B38" s="112" t="s">
        <v>286</v>
      </c>
      <c r="C38" s="105">
        <v>123</v>
      </c>
      <c r="D38" s="4">
        <v>43292</v>
      </c>
      <c r="E38" s="110">
        <v>125</v>
      </c>
      <c r="F38" s="19">
        <v>0.1</v>
      </c>
      <c r="I38" s="1">
        <v>28160000</v>
      </c>
      <c r="J38" s="1">
        <v>68100000</v>
      </c>
      <c r="K38" s="1">
        <v>40000201</v>
      </c>
      <c r="R38" s="3">
        <f t="shared" si="41"/>
        <v>5.729166666666667</v>
      </c>
      <c r="S38" s="50">
        <f t="shared" si="42"/>
        <v>5.729166666666667</v>
      </c>
      <c r="T38" s="3">
        <f t="shared" si="43"/>
        <v>119.27083333333333</v>
      </c>
      <c r="U38" s="3">
        <f t="shared" si="27"/>
        <v>12.5</v>
      </c>
      <c r="V38" s="3">
        <f t="shared" si="28"/>
        <v>18.229166666666668</v>
      </c>
      <c r="W38" s="3">
        <f t="shared" si="29"/>
        <v>106.77083333333333</v>
      </c>
      <c r="X38" s="3">
        <f t="shared" si="20"/>
        <v>12.5</v>
      </c>
      <c r="Y38" s="3">
        <f t="shared" si="21"/>
        <v>30.729166666666668</v>
      </c>
      <c r="Z38" s="3">
        <f t="shared" si="22"/>
        <v>94.270833333333329</v>
      </c>
      <c r="AA38" s="3">
        <f t="shared" si="23"/>
        <v>12.5</v>
      </c>
      <c r="AB38" s="3">
        <f t="shared" si="30"/>
        <v>43.229166666666671</v>
      </c>
      <c r="AC38" s="3">
        <f t="shared" si="25"/>
        <v>81.770833333333329</v>
      </c>
      <c r="AD38" s="3">
        <f t="shared" si="6"/>
        <v>12.5</v>
      </c>
      <c r="AE38" s="3">
        <f t="shared" si="7"/>
        <v>55.729166666666671</v>
      </c>
      <c r="AF38" s="3">
        <f t="shared" si="8"/>
        <v>69.270833333333329</v>
      </c>
      <c r="AG38" s="62">
        <f t="shared" si="9"/>
        <v>12.5</v>
      </c>
      <c r="AH38" s="62"/>
      <c r="AI38" s="3">
        <f t="shared" si="10"/>
        <v>68.229166666666671</v>
      </c>
      <c r="AJ38" s="62">
        <f t="shared" si="11"/>
        <v>56.770833333333329</v>
      </c>
      <c r="AK38" s="62">
        <f t="shared" si="12"/>
        <v>12.5</v>
      </c>
      <c r="AL38" s="3">
        <f t="shared" si="32"/>
        <v>80.729166666666671</v>
      </c>
      <c r="AM38" s="62">
        <f t="shared" si="14"/>
        <v>44.270833333333329</v>
      </c>
      <c r="AN38" s="62">
        <f t="shared" si="15"/>
        <v>12.5</v>
      </c>
      <c r="AO38" s="3">
        <f t="shared" si="16"/>
        <v>93.229166666666671</v>
      </c>
      <c r="AP38" s="62">
        <f t="shared" si="17"/>
        <v>31.770833333333329</v>
      </c>
    </row>
    <row r="39" spans="1:43" x14ac:dyDescent="0.25">
      <c r="A39">
        <v>425</v>
      </c>
      <c r="B39" s="112" t="s">
        <v>287</v>
      </c>
      <c r="C39" s="159">
        <v>124</v>
      </c>
      <c r="D39" s="4">
        <v>43292</v>
      </c>
      <c r="E39" s="110">
        <v>692</v>
      </c>
      <c r="F39" s="19">
        <v>0.1</v>
      </c>
      <c r="I39" s="1">
        <v>28160000</v>
      </c>
      <c r="J39" s="1">
        <v>68100000</v>
      </c>
      <c r="K39" s="1">
        <v>40000201</v>
      </c>
      <c r="R39" s="3">
        <f t="shared" si="41"/>
        <v>31.716666666666665</v>
      </c>
      <c r="S39" s="50">
        <f t="shared" si="42"/>
        <v>31.716666666666665</v>
      </c>
      <c r="T39" s="3">
        <f t="shared" si="43"/>
        <v>660.2833333333333</v>
      </c>
      <c r="U39" s="3">
        <f t="shared" si="27"/>
        <v>69.2</v>
      </c>
      <c r="V39" s="3">
        <f t="shared" si="28"/>
        <v>100.91666666666667</v>
      </c>
      <c r="W39" s="3">
        <f t="shared" si="29"/>
        <v>591.08333333333337</v>
      </c>
      <c r="X39" s="3">
        <f t="shared" si="20"/>
        <v>69.2</v>
      </c>
      <c r="Y39" s="3">
        <f t="shared" si="21"/>
        <v>170.11666666666667</v>
      </c>
      <c r="Z39" s="3">
        <f t="shared" si="22"/>
        <v>521.88333333333333</v>
      </c>
      <c r="AA39" s="3">
        <f t="shared" si="23"/>
        <v>69.2</v>
      </c>
      <c r="AB39" s="3">
        <f t="shared" si="30"/>
        <v>239.31666666666666</v>
      </c>
      <c r="AC39" s="3">
        <f t="shared" si="25"/>
        <v>452.68333333333334</v>
      </c>
      <c r="AD39" s="3">
        <f t="shared" si="6"/>
        <v>69.2</v>
      </c>
      <c r="AE39" s="3">
        <f t="shared" si="7"/>
        <v>308.51666666666665</v>
      </c>
      <c r="AF39" s="3">
        <f t="shared" si="8"/>
        <v>383.48333333333335</v>
      </c>
      <c r="AG39" s="62">
        <f t="shared" si="9"/>
        <v>69.2</v>
      </c>
      <c r="AH39" s="62"/>
      <c r="AI39" s="3">
        <f t="shared" si="10"/>
        <v>377.71666666666664</v>
      </c>
      <c r="AJ39" s="62">
        <f t="shared" si="11"/>
        <v>314.28333333333336</v>
      </c>
      <c r="AK39" s="62">
        <f t="shared" si="12"/>
        <v>69.2</v>
      </c>
      <c r="AL39" s="3">
        <f t="shared" si="32"/>
        <v>446.91666666666663</v>
      </c>
      <c r="AM39" s="62">
        <f t="shared" si="14"/>
        <v>245.08333333333337</v>
      </c>
      <c r="AN39" s="33">
        <f t="shared" ref="AN39:AN41" si="45">ROUND(E39*0.1*300/365,2)</f>
        <v>56.88</v>
      </c>
      <c r="AO39" s="3">
        <f t="shared" si="16"/>
        <v>503.79666666666662</v>
      </c>
      <c r="AP39" s="33">
        <f t="shared" si="17"/>
        <v>188.20333333333338</v>
      </c>
      <c r="AQ39" s="154" t="s">
        <v>343</v>
      </c>
    </row>
    <row r="40" spans="1:43" x14ac:dyDescent="0.25">
      <c r="A40">
        <v>425</v>
      </c>
      <c r="B40" s="112" t="s">
        <v>288</v>
      </c>
      <c r="C40" s="159">
        <v>125</v>
      </c>
      <c r="D40" s="4">
        <v>43292</v>
      </c>
      <c r="E40" s="110">
        <v>328</v>
      </c>
      <c r="F40" s="19">
        <v>0.1</v>
      </c>
      <c r="I40" s="1">
        <v>28160000</v>
      </c>
      <c r="J40" s="1">
        <v>68100000</v>
      </c>
      <c r="K40" s="1">
        <v>40000201</v>
      </c>
      <c r="R40" s="3">
        <f t="shared" si="41"/>
        <v>15.033333333333337</v>
      </c>
      <c r="S40" s="50">
        <f t="shared" si="42"/>
        <v>15.033333333333337</v>
      </c>
      <c r="T40" s="3">
        <f t="shared" si="43"/>
        <v>312.96666666666664</v>
      </c>
      <c r="U40" s="3">
        <f t="shared" si="27"/>
        <v>32.800000000000004</v>
      </c>
      <c r="V40" s="3">
        <f t="shared" si="28"/>
        <v>47.833333333333343</v>
      </c>
      <c r="W40" s="3">
        <f t="shared" si="29"/>
        <v>280.16666666666663</v>
      </c>
      <c r="X40" s="3">
        <f t="shared" si="20"/>
        <v>32.800000000000004</v>
      </c>
      <c r="Y40" s="3">
        <f t="shared" si="21"/>
        <v>80.633333333333354</v>
      </c>
      <c r="Z40" s="3">
        <f t="shared" si="22"/>
        <v>247.36666666666665</v>
      </c>
      <c r="AA40" s="3">
        <f t="shared" si="23"/>
        <v>32.800000000000004</v>
      </c>
      <c r="AB40" s="3">
        <f t="shared" si="30"/>
        <v>113.43333333333337</v>
      </c>
      <c r="AC40" s="3">
        <f t="shared" si="25"/>
        <v>214.56666666666663</v>
      </c>
      <c r="AD40" s="3">
        <f t="shared" si="6"/>
        <v>32.800000000000004</v>
      </c>
      <c r="AE40" s="3">
        <f t="shared" si="7"/>
        <v>146.23333333333338</v>
      </c>
      <c r="AF40" s="3">
        <f t="shared" si="8"/>
        <v>181.76666666666662</v>
      </c>
      <c r="AG40" s="62">
        <f t="shared" si="9"/>
        <v>32.800000000000004</v>
      </c>
      <c r="AH40" s="62"/>
      <c r="AI40" s="3">
        <f t="shared" si="10"/>
        <v>179.03333333333339</v>
      </c>
      <c r="AJ40" s="62">
        <f t="shared" si="11"/>
        <v>148.96666666666661</v>
      </c>
      <c r="AK40" s="62">
        <f t="shared" si="12"/>
        <v>32.800000000000004</v>
      </c>
      <c r="AL40" s="3">
        <f t="shared" si="32"/>
        <v>211.8333333333334</v>
      </c>
      <c r="AM40" s="62">
        <f t="shared" si="14"/>
        <v>116.1666666666666</v>
      </c>
      <c r="AN40" s="33">
        <f t="shared" si="45"/>
        <v>26.96</v>
      </c>
      <c r="AO40" s="3">
        <f t="shared" si="16"/>
        <v>238.79333333333341</v>
      </c>
      <c r="AP40" s="33">
        <f t="shared" si="17"/>
        <v>89.206666666666592</v>
      </c>
      <c r="AQ40" s="154" t="s">
        <v>343</v>
      </c>
    </row>
    <row r="41" spans="1:43" x14ac:dyDescent="0.25">
      <c r="A41" s="113">
        <v>548</v>
      </c>
      <c r="B41" s="74" t="s">
        <v>266</v>
      </c>
      <c r="C41" s="159">
        <v>131</v>
      </c>
      <c r="D41" s="4">
        <v>43368</v>
      </c>
      <c r="E41" s="102">
        <v>346</v>
      </c>
      <c r="F41" s="19">
        <v>0.1</v>
      </c>
      <c r="I41" s="1">
        <v>28160000</v>
      </c>
      <c r="J41" s="1">
        <v>68100000</v>
      </c>
      <c r="K41" s="1">
        <v>40000201</v>
      </c>
      <c r="R41" s="3">
        <f>(E41*F41)/12*3</f>
        <v>8.65</v>
      </c>
      <c r="S41" s="50">
        <f t="shared" si="26"/>
        <v>8.65</v>
      </c>
      <c r="T41" s="3">
        <f t="shared" si="3"/>
        <v>337.35</v>
      </c>
      <c r="U41" s="3">
        <f t="shared" si="27"/>
        <v>34.6</v>
      </c>
      <c r="V41" s="3">
        <f t="shared" si="28"/>
        <v>43.25</v>
      </c>
      <c r="W41" s="3">
        <f t="shared" si="29"/>
        <v>302.75</v>
      </c>
      <c r="X41" s="3">
        <f t="shared" si="20"/>
        <v>34.6</v>
      </c>
      <c r="Y41" s="3">
        <f t="shared" si="21"/>
        <v>77.849999999999994</v>
      </c>
      <c r="Z41" s="3">
        <f t="shared" si="22"/>
        <v>268.14999999999998</v>
      </c>
      <c r="AA41" s="3">
        <f t="shared" si="23"/>
        <v>34.6</v>
      </c>
      <c r="AB41" s="3">
        <f t="shared" si="30"/>
        <v>112.44999999999999</v>
      </c>
      <c r="AC41" s="3">
        <f t="shared" si="25"/>
        <v>233.55</v>
      </c>
      <c r="AD41" s="3">
        <f t="shared" si="6"/>
        <v>34.6</v>
      </c>
      <c r="AE41" s="3">
        <f t="shared" si="7"/>
        <v>147.04999999999998</v>
      </c>
      <c r="AF41" s="3">
        <f t="shared" si="8"/>
        <v>198.95000000000002</v>
      </c>
      <c r="AG41" s="62">
        <f t="shared" si="9"/>
        <v>34.6</v>
      </c>
      <c r="AH41" s="62"/>
      <c r="AI41" s="3">
        <f t="shared" si="10"/>
        <v>181.64999999999998</v>
      </c>
      <c r="AJ41" s="62">
        <f t="shared" si="11"/>
        <v>164.35000000000002</v>
      </c>
      <c r="AK41" s="62">
        <f t="shared" si="12"/>
        <v>34.6</v>
      </c>
      <c r="AL41" s="3">
        <f t="shared" si="32"/>
        <v>216.24999999999997</v>
      </c>
      <c r="AM41" s="62">
        <f t="shared" si="14"/>
        <v>129.75000000000003</v>
      </c>
      <c r="AN41" s="33">
        <f t="shared" si="45"/>
        <v>28.44</v>
      </c>
      <c r="AO41" s="3">
        <f t="shared" si="16"/>
        <v>244.68999999999997</v>
      </c>
      <c r="AP41" s="33">
        <f t="shared" si="17"/>
        <v>101.31000000000003</v>
      </c>
      <c r="AQ41" s="154" t="s">
        <v>343</v>
      </c>
    </row>
    <row r="42" spans="1:43" x14ac:dyDescent="0.25">
      <c r="A42" s="113">
        <v>836</v>
      </c>
      <c r="B42" s="74" t="s">
        <v>267</v>
      </c>
      <c r="C42" s="159">
        <v>134</v>
      </c>
      <c r="D42" s="4">
        <v>43374</v>
      </c>
      <c r="E42" s="102">
        <v>74.12</v>
      </c>
      <c r="F42" s="19">
        <v>0.1</v>
      </c>
      <c r="I42" s="1">
        <v>28160000</v>
      </c>
      <c r="J42" s="1">
        <v>68100000</v>
      </c>
      <c r="K42" s="1">
        <v>40000000</v>
      </c>
      <c r="R42" s="3">
        <f>(E42*F42)/12*3</f>
        <v>1.8530000000000002</v>
      </c>
      <c r="S42" s="50">
        <f t="shared" si="26"/>
        <v>1.8530000000000002</v>
      </c>
      <c r="T42" s="3">
        <f t="shared" si="3"/>
        <v>72.26700000000001</v>
      </c>
      <c r="U42" s="3">
        <f t="shared" si="27"/>
        <v>7.4120000000000008</v>
      </c>
      <c r="V42" s="3">
        <f t="shared" si="28"/>
        <v>9.2650000000000006</v>
      </c>
      <c r="W42" s="3">
        <f t="shared" si="29"/>
        <v>64.855000000000004</v>
      </c>
      <c r="X42" s="3">
        <f t="shared" si="20"/>
        <v>7.4120000000000008</v>
      </c>
      <c r="Y42" s="3">
        <f t="shared" si="21"/>
        <v>16.677</v>
      </c>
      <c r="Z42" s="3">
        <f t="shared" si="22"/>
        <v>57.443000000000005</v>
      </c>
      <c r="AA42" s="3">
        <f t="shared" si="23"/>
        <v>7.4120000000000008</v>
      </c>
      <c r="AB42" s="3">
        <f t="shared" si="30"/>
        <v>24.088999999999999</v>
      </c>
      <c r="AC42" s="3">
        <f t="shared" si="25"/>
        <v>50.031000000000006</v>
      </c>
      <c r="AD42" s="3">
        <f t="shared" si="6"/>
        <v>7.4120000000000008</v>
      </c>
      <c r="AE42" s="3">
        <f t="shared" si="7"/>
        <v>31.500999999999998</v>
      </c>
      <c r="AF42" s="3">
        <f t="shared" si="8"/>
        <v>42.619000000000007</v>
      </c>
      <c r="AG42" s="62">
        <f t="shared" si="9"/>
        <v>7.4120000000000008</v>
      </c>
      <c r="AH42" s="62"/>
      <c r="AI42" s="3">
        <f t="shared" si="10"/>
        <v>38.912999999999997</v>
      </c>
      <c r="AJ42" s="62">
        <f t="shared" si="11"/>
        <v>35.207000000000008</v>
      </c>
      <c r="AK42" s="62">
        <f t="shared" si="12"/>
        <v>7.4120000000000008</v>
      </c>
      <c r="AL42" s="3">
        <f t="shared" si="32"/>
        <v>46.324999999999996</v>
      </c>
      <c r="AM42" s="62">
        <f t="shared" si="14"/>
        <v>27.795000000000009</v>
      </c>
      <c r="AN42" s="62">
        <f>ROUND(E42*0.1*46/365,2)</f>
        <v>0.93</v>
      </c>
      <c r="AO42" s="3">
        <f t="shared" si="16"/>
        <v>47.254999999999995</v>
      </c>
      <c r="AP42" s="62">
        <f t="shared" si="17"/>
        <v>26.865000000000009</v>
      </c>
      <c r="AQ42" s="147" t="s">
        <v>342</v>
      </c>
    </row>
    <row r="43" spans="1:43" x14ac:dyDescent="0.25">
      <c r="A43" s="113">
        <v>780</v>
      </c>
      <c r="B43" s="112" t="s">
        <v>271</v>
      </c>
      <c r="C43" s="160">
        <v>119</v>
      </c>
      <c r="D43" s="114">
        <v>43432</v>
      </c>
      <c r="E43" s="110">
        <v>945</v>
      </c>
      <c r="F43" s="19">
        <v>0.1</v>
      </c>
      <c r="G43" s="2"/>
      <c r="H43" s="1"/>
      <c r="I43" s="1">
        <v>28160000</v>
      </c>
      <c r="J43" s="1">
        <v>68100000</v>
      </c>
      <c r="K43" s="1">
        <v>40000017</v>
      </c>
      <c r="L43" s="1"/>
      <c r="M43" s="1"/>
      <c r="R43" s="3">
        <f>(E43*F43)/12*1</f>
        <v>7.875</v>
      </c>
      <c r="S43" s="50">
        <f t="shared" si="26"/>
        <v>7.875</v>
      </c>
      <c r="T43" s="3">
        <f t="shared" si="3"/>
        <v>937.125</v>
      </c>
      <c r="U43" s="3">
        <f t="shared" si="27"/>
        <v>94.5</v>
      </c>
      <c r="V43" s="3">
        <f t="shared" si="28"/>
        <v>102.375</v>
      </c>
      <c r="W43" s="3">
        <f t="shared" si="29"/>
        <v>842.625</v>
      </c>
      <c r="X43" s="3">
        <f t="shared" si="20"/>
        <v>94.5</v>
      </c>
      <c r="Y43" s="3">
        <f t="shared" si="21"/>
        <v>196.875</v>
      </c>
      <c r="Z43" s="3">
        <f t="shared" si="22"/>
        <v>748.125</v>
      </c>
      <c r="AA43" s="3">
        <f t="shared" si="23"/>
        <v>94.5</v>
      </c>
      <c r="AB43" s="3">
        <f t="shared" si="30"/>
        <v>291.375</v>
      </c>
      <c r="AC43" s="3">
        <f t="shared" si="25"/>
        <v>653.625</v>
      </c>
      <c r="AD43" s="3">
        <f t="shared" si="6"/>
        <v>94.5</v>
      </c>
      <c r="AE43" s="3">
        <f t="shared" si="7"/>
        <v>385.875</v>
      </c>
      <c r="AF43" s="3">
        <f t="shared" si="8"/>
        <v>559.125</v>
      </c>
      <c r="AG43" s="62">
        <f t="shared" si="9"/>
        <v>94.5</v>
      </c>
      <c r="AH43" s="62"/>
      <c r="AI43" s="3">
        <f t="shared" si="10"/>
        <v>480.375</v>
      </c>
      <c r="AJ43" s="62">
        <f t="shared" si="11"/>
        <v>464.625</v>
      </c>
      <c r="AK43" s="62">
        <f t="shared" si="12"/>
        <v>94.5</v>
      </c>
      <c r="AL43" s="3">
        <f t="shared" si="32"/>
        <v>574.875</v>
      </c>
      <c r="AM43" s="62">
        <f t="shared" si="14"/>
        <v>370.125</v>
      </c>
      <c r="AN43" s="33">
        <f>ROUND(E43*0.1*300/365,2)</f>
        <v>77.67</v>
      </c>
      <c r="AO43" s="3">
        <f t="shared" si="16"/>
        <v>652.54499999999996</v>
      </c>
      <c r="AP43" s="33">
        <f t="shared" si="17"/>
        <v>292.45500000000004</v>
      </c>
      <c r="AQ43" s="154" t="s">
        <v>343</v>
      </c>
    </row>
    <row r="44" spans="1:43" x14ac:dyDescent="0.25">
      <c r="B44" s="1"/>
      <c r="C44" s="103"/>
      <c r="D44" s="4"/>
      <c r="E44" s="5"/>
      <c r="F44" s="10"/>
      <c r="G44" s="2"/>
      <c r="H44" s="1"/>
      <c r="I44" s="1"/>
      <c r="J44" s="1"/>
      <c r="K44" s="1"/>
      <c r="L44" s="1"/>
      <c r="M44" s="1"/>
      <c r="AB44" s="3"/>
      <c r="AC44" s="3"/>
      <c r="AD44" s="3"/>
      <c r="AE44" s="3"/>
      <c r="AF44" s="3"/>
    </row>
    <row r="45" spans="1:43" x14ac:dyDescent="0.25">
      <c r="A45" s="1"/>
      <c r="B45" s="1"/>
      <c r="C45" s="103"/>
      <c r="D45" s="4"/>
      <c r="E45" s="5"/>
      <c r="F45" s="10"/>
      <c r="G45" s="2"/>
      <c r="H45" s="1"/>
      <c r="I45" s="1"/>
      <c r="J45" s="1"/>
      <c r="K45" s="1"/>
      <c r="L45" s="1"/>
      <c r="M45" s="1"/>
      <c r="AB45" s="3"/>
      <c r="AC45" s="3"/>
      <c r="AD45" s="3"/>
      <c r="AE45" s="3"/>
      <c r="AF45" s="3"/>
    </row>
    <row r="46" spans="1:43" s="30" customFormat="1" x14ac:dyDescent="0.25">
      <c r="A46" s="25" t="s">
        <v>136</v>
      </c>
      <c r="B46" s="25"/>
      <c r="C46" s="104"/>
      <c r="D46" s="31"/>
      <c r="E46" s="92">
        <f>SUM(E2:E45)</f>
        <v>34391.780000000006</v>
      </c>
      <c r="F46" s="31"/>
      <c r="G46" s="31"/>
      <c r="H46" s="31"/>
      <c r="I46" s="31"/>
      <c r="J46" s="31"/>
      <c r="K46" s="31"/>
      <c r="L46" s="31">
        <f>SUM(L2:L45)</f>
        <v>2002.4535000000001</v>
      </c>
      <c r="M46" s="31">
        <f t="shared" ref="M46:T46" si="46">SUM(M2:M45)</f>
        <v>10469.524499999998</v>
      </c>
      <c r="N46" s="31">
        <f t="shared" si="46"/>
        <v>13572.0455</v>
      </c>
      <c r="O46" s="57">
        <f t="shared" si="46"/>
        <v>2254.4630000000002</v>
      </c>
      <c r="P46" s="57">
        <f t="shared" si="46"/>
        <v>12723.987499999999</v>
      </c>
      <c r="Q46" s="57">
        <f t="shared" si="46"/>
        <v>11317.5825</v>
      </c>
      <c r="R46" s="87">
        <f t="shared" si="46"/>
        <v>2645.6585416666667</v>
      </c>
      <c r="S46" s="87">
        <f t="shared" si="46"/>
        <v>15369.64604166667</v>
      </c>
      <c r="T46" s="87">
        <f t="shared" si="46"/>
        <v>19022.133958333328</v>
      </c>
      <c r="U46" s="87">
        <f t="shared" ref="U46:AC46" si="47">SUM(U2:U45)</f>
        <v>3086.8120000000008</v>
      </c>
      <c r="V46" s="87">
        <f t="shared" si="47"/>
        <v>18456.458041666676</v>
      </c>
      <c r="W46" s="87">
        <f t="shared" si="47"/>
        <v>15935.321958333334</v>
      </c>
      <c r="X46" s="87">
        <f t="shared" si="47"/>
        <v>2925.9940000000006</v>
      </c>
      <c r="Y46" s="87">
        <f t="shared" si="47"/>
        <v>21382.452041666671</v>
      </c>
      <c r="Z46" s="87">
        <f t="shared" si="47"/>
        <v>13009.327958333331</v>
      </c>
      <c r="AA46" s="87">
        <f t="shared" si="47"/>
        <v>2595.3459999999995</v>
      </c>
      <c r="AB46" s="87">
        <f t="shared" si="47"/>
        <v>23977.798041666669</v>
      </c>
      <c r="AC46" s="87">
        <f t="shared" si="47"/>
        <v>10413.981958333332</v>
      </c>
      <c r="AD46" s="87">
        <f>SUM(AD2:AD43)</f>
        <v>2421.2799999999997</v>
      </c>
      <c r="AE46" s="87">
        <f t="shared" ref="AE46:AJ46" si="48">SUM(AE2:AE43)</f>
        <v>26399.078041666678</v>
      </c>
      <c r="AF46" s="87">
        <f t="shared" si="48"/>
        <v>7992.701958333334</v>
      </c>
      <c r="AG46" s="87">
        <f t="shared" si="48"/>
        <v>2038.2330000000002</v>
      </c>
      <c r="AH46" s="87"/>
      <c r="AI46" s="87">
        <f t="shared" si="48"/>
        <v>28546.901041666661</v>
      </c>
      <c r="AJ46" s="87">
        <f t="shared" si="48"/>
        <v>5844.8789583333337</v>
      </c>
      <c r="AK46" s="87">
        <f t="shared" ref="AK46" si="49">SUM(AK2:AK43)</f>
        <v>1465.847</v>
      </c>
      <c r="AL46" s="87">
        <f t="shared" ref="AL46:AP46" si="50">SUM(AL2:AL43)</f>
        <v>30012.74804166668</v>
      </c>
      <c r="AM46" s="87">
        <f t="shared" si="50"/>
        <v>4379.031958333333</v>
      </c>
      <c r="AN46" s="87">
        <f t="shared" si="50"/>
        <v>740.03899999999987</v>
      </c>
      <c r="AO46" s="87">
        <f t="shared" si="50"/>
        <v>30752.787041666674</v>
      </c>
      <c r="AP46" s="87">
        <f t="shared" si="50"/>
        <v>3638.9929583333333</v>
      </c>
    </row>
    <row r="47" spans="1:43" x14ac:dyDescent="0.25">
      <c r="E47" s="93" t="str">
        <f>"(21600000)"</f>
        <v>(21600000)</v>
      </c>
      <c r="P47" s="76" t="str">
        <f>"(28160000)"</f>
        <v>(28160000)</v>
      </c>
      <c r="R47" s="76" t="str">
        <f>"(68100000)"</f>
        <v>(68100000)</v>
      </c>
      <c r="S47" s="76" t="str">
        <f>"(28160000)"</f>
        <v>(28160000)</v>
      </c>
      <c r="U47" s="76" t="str">
        <f>"(68100000)"</f>
        <v>(68100000)</v>
      </c>
      <c r="V47" s="76" t="str">
        <f>"(28160000)"</f>
        <v>(28160000)</v>
      </c>
      <c r="AB47" s="3"/>
      <c r="AC47" s="3"/>
    </row>
    <row r="48" spans="1:43" ht="15.75" thickBot="1" x14ac:dyDescent="0.3">
      <c r="AB48" s="3"/>
      <c r="AC48" s="3"/>
    </row>
    <row r="49" spans="18:44" x14ac:dyDescent="0.25">
      <c r="AB49" s="3"/>
      <c r="AC49" s="3"/>
      <c r="AK49" s="95" t="s">
        <v>340</v>
      </c>
      <c r="AL49" s="96"/>
      <c r="AM49" s="97"/>
    </row>
    <row r="50" spans="18:44" x14ac:dyDescent="0.25">
      <c r="AB50" s="3"/>
      <c r="AC50" s="3"/>
      <c r="AG50" s="1"/>
      <c r="AH50" s="1"/>
      <c r="AJ50" s="3"/>
      <c r="AK50" s="101" t="s">
        <v>17</v>
      </c>
      <c r="AL50" t="s">
        <v>245</v>
      </c>
      <c r="AM50" s="98">
        <f>SUM(AN38,AN28,AN23:AN24)</f>
        <v>77.078999999999994</v>
      </c>
    </row>
    <row r="51" spans="18:44" ht="15.75" thickBot="1" x14ac:dyDescent="0.3">
      <c r="R51" s="1"/>
      <c r="T51" s="3"/>
      <c r="AB51" s="3"/>
      <c r="AC51" s="3"/>
      <c r="AG51" s="74"/>
      <c r="AH51" s="74"/>
      <c r="AJ51" s="3"/>
      <c r="AK51" s="99" t="s">
        <v>253</v>
      </c>
      <c r="AL51" s="17" t="s">
        <v>247</v>
      </c>
      <c r="AM51" s="100">
        <v>77.08</v>
      </c>
    </row>
    <row r="52" spans="18:44" x14ac:dyDescent="0.25">
      <c r="R52" s="74"/>
      <c r="T52" s="3"/>
      <c r="AB52" s="3"/>
      <c r="AC52" s="3"/>
    </row>
    <row r="53" spans="18:44" ht="15" customHeight="1" x14ac:dyDescent="0.25">
      <c r="AB53" s="3"/>
      <c r="AC53" s="3"/>
      <c r="AK53" s="153"/>
      <c r="AL53" s="153"/>
      <c r="AM53" s="153"/>
      <c r="AN53" s="164" t="s">
        <v>354</v>
      </c>
      <c r="AO53" s="164"/>
      <c r="AP53" s="164"/>
      <c r="AQ53" s="164"/>
      <c r="AR53" s="164"/>
    </row>
    <row r="54" spans="18:44" x14ac:dyDescent="0.25">
      <c r="AK54" s="153"/>
      <c r="AL54" s="153"/>
      <c r="AM54" s="153"/>
      <c r="AN54" s="164"/>
      <c r="AO54" s="164"/>
      <c r="AP54" s="164"/>
      <c r="AQ54" s="164"/>
      <c r="AR54" s="164"/>
    </row>
  </sheetData>
  <autoFilter ref="A1:K1" xr:uid="{00000000-0009-0000-0000-000000000000}"/>
  <mergeCells count="1">
    <mergeCell ref="AN53:AR54"/>
  </mergeCells>
  <phoneticPr fontId="14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74" orientation="portrait" r:id="rId1"/>
  <headerFooter>
    <oddFooter>&amp;C&amp;P&amp;R&amp;F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BB75"/>
  <sheetViews>
    <sheetView topLeftCell="AH46" zoomScale="125" zoomScaleNormal="125" zoomScalePageLayoutView="125" workbookViewId="0">
      <selection activeCell="AO71" sqref="AO71"/>
    </sheetView>
  </sheetViews>
  <sheetFormatPr baseColWidth="10" defaultRowHeight="15" x14ac:dyDescent="0.25"/>
  <cols>
    <col min="1" max="1" width="4.140625" hidden="1" customWidth="1"/>
    <col min="2" max="2" width="45.140625" bestFit="1" customWidth="1"/>
    <col min="3" max="3" width="13.7109375" customWidth="1"/>
    <col min="4" max="4" width="13.7109375" style="142" customWidth="1"/>
    <col min="5" max="5" width="10.7109375" customWidth="1"/>
    <col min="6" max="7" width="7.7109375" customWidth="1"/>
    <col min="8" max="8" width="4.85546875" customWidth="1"/>
    <col min="9" max="9" width="9.7109375" customWidth="1"/>
    <col min="10" max="10" width="9.42578125" customWidth="1"/>
    <col min="11" max="11" width="9.85546875" customWidth="1"/>
    <col min="12" max="12" width="10.85546875" customWidth="1"/>
    <col min="13" max="13" width="5.28515625" customWidth="1"/>
    <col min="14" max="14" width="34.140625" customWidth="1"/>
    <col min="15" max="15" width="25.85546875" customWidth="1"/>
    <col min="16" max="18" width="10.85546875" customWidth="1"/>
    <col min="19" max="22" width="11.42578125" customWidth="1"/>
    <col min="23" max="23" width="12.5703125" customWidth="1"/>
    <col min="24" max="25" width="11.42578125" customWidth="1"/>
    <col min="26" max="26" width="13" customWidth="1"/>
    <col min="27" max="27" width="11.42578125" customWidth="1"/>
    <col min="28" max="28" width="15.140625" customWidth="1"/>
    <col min="29" max="29" width="15.85546875" customWidth="1"/>
    <col min="30" max="30" width="11.42578125" customWidth="1"/>
    <col min="31" max="31" width="15.7109375" customWidth="1"/>
    <col min="32" max="32" width="12.28515625" customWidth="1"/>
    <col min="33" max="34" width="11.42578125" customWidth="1"/>
    <col min="35" max="35" width="12.28515625" customWidth="1"/>
    <col min="36" max="36" width="11.42578125" customWidth="1"/>
    <col min="37" max="37" width="11.7109375" customWidth="1"/>
    <col min="38" max="38" width="15.42578125" customWidth="1"/>
    <col min="39" max="39" width="11.42578125" customWidth="1"/>
    <col min="40" max="40" width="15.7109375" customWidth="1"/>
    <col min="41" max="42" width="11.42578125" customWidth="1"/>
    <col min="43" max="43" width="15.7109375" customWidth="1"/>
    <col min="44" max="44" width="15.5703125" customWidth="1"/>
    <col min="45" max="45" width="11.42578125" customWidth="1"/>
    <col min="46" max="46" width="11.42578125" style="148"/>
  </cols>
  <sheetData>
    <row r="1" spans="1:54" s="66" customFormat="1" ht="30" customHeight="1" x14ac:dyDescent="0.25">
      <c r="A1" s="64" t="s">
        <v>0</v>
      </c>
      <c r="B1" s="64" t="s">
        <v>139</v>
      </c>
      <c r="C1" s="64" t="s">
        <v>1</v>
      </c>
      <c r="D1" s="64" t="s">
        <v>9</v>
      </c>
      <c r="E1" s="64" t="s">
        <v>2</v>
      </c>
      <c r="F1" s="64" t="s">
        <v>3</v>
      </c>
      <c r="G1" s="64" t="s">
        <v>4</v>
      </c>
      <c r="H1" s="64" t="s">
        <v>5</v>
      </c>
      <c r="I1" s="64" t="s">
        <v>6</v>
      </c>
      <c r="J1" s="64" t="s">
        <v>7</v>
      </c>
      <c r="K1" s="64" t="s">
        <v>8</v>
      </c>
      <c r="L1" s="64" t="s">
        <v>10</v>
      </c>
      <c r="M1" s="64" t="s">
        <v>11</v>
      </c>
      <c r="N1" s="64" t="s">
        <v>12</v>
      </c>
      <c r="O1" s="64" t="s">
        <v>13</v>
      </c>
      <c r="P1" s="65" t="s">
        <v>128</v>
      </c>
      <c r="Q1" s="65" t="s">
        <v>132</v>
      </c>
      <c r="R1" s="65" t="s">
        <v>127</v>
      </c>
      <c r="S1" s="56" t="s">
        <v>141</v>
      </c>
      <c r="T1" s="56" t="s">
        <v>233</v>
      </c>
      <c r="U1" s="56" t="s">
        <v>143</v>
      </c>
      <c r="V1" s="83" t="s">
        <v>237</v>
      </c>
      <c r="W1" s="83" t="s">
        <v>235</v>
      </c>
      <c r="X1" s="83" t="s">
        <v>236</v>
      </c>
      <c r="Y1" s="83" t="s">
        <v>292</v>
      </c>
      <c r="Z1" s="83" t="s">
        <v>290</v>
      </c>
      <c r="AA1" s="83" t="s">
        <v>291</v>
      </c>
      <c r="AB1" s="83" t="s">
        <v>305</v>
      </c>
      <c r="AC1" s="83" t="s">
        <v>300</v>
      </c>
      <c r="AD1" s="83" t="s">
        <v>301</v>
      </c>
      <c r="AE1" s="83" t="s">
        <v>306</v>
      </c>
      <c r="AF1" s="83" t="s">
        <v>303</v>
      </c>
      <c r="AG1" s="83" t="s">
        <v>304</v>
      </c>
      <c r="AH1" s="83" t="s">
        <v>315</v>
      </c>
      <c r="AI1" s="83" t="s">
        <v>316</v>
      </c>
      <c r="AJ1" s="83" t="s">
        <v>318</v>
      </c>
      <c r="AK1" s="83" t="s">
        <v>325</v>
      </c>
      <c r="AL1" s="83" t="s">
        <v>326</v>
      </c>
      <c r="AM1" s="83" t="s">
        <v>327</v>
      </c>
      <c r="AN1" s="83" t="s">
        <v>335</v>
      </c>
      <c r="AO1" s="83" t="s">
        <v>333</v>
      </c>
      <c r="AP1" s="83" t="s">
        <v>334</v>
      </c>
      <c r="AQ1" s="83" t="s">
        <v>339</v>
      </c>
      <c r="AR1" s="83" t="s">
        <v>337</v>
      </c>
      <c r="AS1" s="83" t="s">
        <v>338</v>
      </c>
      <c r="AT1" s="149" t="s">
        <v>341</v>
      </c>
    </row>
    <row r="2" spans="1:54" x14ac:dyDescent="0.25">
      <c r="A2" s="1" t="s">
        <v>14</v>
      </c>
      <c r="B2" s="1" t="s">
        <v>154</v>
      </c>
      <c r="C2" s="58" t="s">
        <v>28</v>
      </c>
      <c r="D2" s="137">
        <v>39524</v>
      </c>
      <c r="E2" s="59">
        <v>1660.56</v>
      </c>
      <c r="F2" s="10">
        <v>0.1</v>
      </c>
      <c r="G2" s="2">
        <v>1</v>
      </c>
      <c r="H2" s="1" t="s">
        <v>25</v>
      </c>
      <c r="I2" s="1" t="s">
        <v>16</v>
      </c>
      <c r="J2" s="1" t="s">
        <v>17</v>
      </c>
      <c r="K2" s="1" t="s">
        <v>26</v>
      </c>
      <c r="L2" s="4">
        <v>39524</v>
      </c>
      <c r="M2" s="1" t="s">
        <v>29</v>
      </c>
      <c r="N2" s="1" t="s">
        <v>19</v>
      </c>
      <c r="O2" s="1" t="s">
        <v>20</v>
      </c>
      <c r="P2" s="77">
        <f>E2*F2</f>
        <v>166.05600000000001</v>
      </c>
      <c r="Q2" s="50">
        <v>1450.7820000000002</v>
      </c>
      <c r="R2" s="3">
        <f t="shared" ref="R2:R45" si="0">E2-Q2</f>
        <v>209.77799999999979</v>
      </c>
      <c r="S2" s="3">
        <f>E2*F2</f>
        <v>166.05600000000001</v>
      </c>
      <c r="T2" s="3">
        <f t="shared" ref="T2:T48" si="1">Q2+S2</f>
        <v>1616.8380000000002</v>
      </c>
      <c r="U2" s="3">
        <f t="shared" ref="U2:U48" si="2">E2-T2</f>
        <v>43.721999999999753</v>
      </c>
      <c r="V2" s="88">
        <f>U2</f>
        <v>43.721999999999753</v>
      </c>
      <c r="W2" s="62">
        <f t="shared" ref="W2:W23" si="3">T2+V2</f>
        <v>1660.56</v>
      </c>
      <c r="X2" s="3">
        <f t="shared" ref="X2:X23" si="4">E2-W2</f>
        <v>0</v>
      </c>
      <c r="Y2" s="3">
        <f t="shared" ref="Y2:Y22" si="5">ROUND(IF(((E2*F2)+W2)&gt;E2,X2,(E2*F2)),2)</f>
        <v>0</v>
      </c>
      <c r="Z2" s="12">
        <f>W2+Y2</f>
        <v>1660.56</v>
      </c>
      <c r="AA2" s="12">
        <f>E2-Z2</f>
        <v>0</v>
      </c>
      <c r="AB2" s="3">
        <f>ROUND(IF(((E2*F2)+Z2)&gt;E2,AA2,(E2*F2)),2)</f>
        <v>0</v>
      </c>
      <c r="AC2" s="12">
        <f>AB2+Z2</f>
        <v>1660.56</v>
      </c>
      <c r="AD2" s="12">
        <f>E2-AC2</f>
        <v>0</v>
      </c>
      <c r="AE2" s="3">
        <f>ROUND(IF(((E2*F2)+AC2)&gt;E2,AD2,(E2*F2)),2)</f>
        <v>0</v>
      </c>
      <c r="AF2" s="12">
        <f>AE2+AC2</f>
        <v>1660.56</v>
      </c>
      <c r="AG2" s="12">
        <f>E2-AF2</f>
        <v>0</v>
      </c>
      <c r="AH2" s="3">
        <f>ROUND(IF(((E2*F2)+AF2)&gt;E2,AG2,(E2*F2)),2)</f>
        <v>0</v>
      </c>
      <c r="AI2" s="12">
        <f t="shared" ref="AI2:AI9" si="6">SUM(AF2,AH2)</f>
        <v>1660.56</v>
      </c>
      <c r="AJ2" s="12">
        <f>E2-AI2</f>
        <v>0</v>
      </c>
      <c r="AK2" s="3">
        <f>ROUND(IF(((E2*F2)+AI2)&gt;E2,AJ2,(E2*F2)),2)</f>
        <v>0</v>
      </c>
      <c r="AL2" s="12">
        <f t="shared" ref="AL2" si="7">SUM(AI2,AK2)</f>
        <v>1660.56</v>
      </c>
      <c r="AM2" s="12">
        <f t="shared" ref="AM2:AM49" si="8">E2-AL2</f>
        <v>0</v>
      </c>
      <c r="AN2" s="3">
        <f>ROUND(IF(((E2*F2)+AL2)&gt;E2,AM2,(E2*F2)),2)</f>
        <v>0</v>
      </c>
      <c r="AO2" s="12">
        <f>SUM(AL2+AN2)</f>
        <v>1660.56</v>
      </c>
      <c r="AP2" s="12">
        <f>E2-AO2</f>
        <v>0</v>
      </c>
      <c r="AQ2" s="3">
        <f>ROUND(IF(((E2*F2)+AO2)&gt;E2,AP2,(E2*F2)),2)</f>
        <v>0</v>
      </c>
      <c r="AR2" s="12">
        <f>SUM(AO2+AQ2)</f>
        <v>1660.56</v>
      </c>
      <c r="AS2" s="12">
        <f>E2-AR2</f>
        <v>0</v>
      </c>
      <c r="AT2" s="148" t="s">
        <v>342</v>
      </c>
    </row>
    <row r="3" spans="1:54" x14ac:dyDescent="0.25">
      <c r="A3" s="67" t="s">
        <v>14</v>
      </c>
      <c r="B3" s="67" t="s">
        <v>155</v>
      </c>
      <c r="C3" s="155" t="s">
        <v>37</v>
      </c>
      <c r="D3" s="138">
        <v>40677</v>
      </c>
      <c r="E3" s="133">
        <v>1299</v>
      </c>
      <c r="F3" s="69">
        <v>0.25</v>
      </c>
      <c r="G3" s="70">
        <v>1</v>
      </c>
      <c r="H3" s="67" t="s">
        <v>21</v>
      </c>
      <c r="I3" s="67" t="s">
        <v>16</v>
      </c>
      <c r="J3" s="67" t="s">
        <v>17</v>
      </c>
      <c r="K3" s="67" t="s">
        <v>18</v>
      </c>
      <c r="L3" s="68">
        <v>40677</v>
      </c>
      <c r="M3" s="67" t="s">
        <v>38</v>
      </c>
      <c r="N3" s="67" t="s">
        <v>19</v>
      </c>
      <c r="O3" s="67" t="s">
        <v>20</v>
      </c>
      <c r="P3" s="86">
        <v>0</v>
      </c>
      <c r="Q3" s="72">
        <v>1299</v>
      </c>
      <c r="R3" s="12">
        <f t="shared" si="0"/>
        <v>0</v>
      </c>
      <c r="S3" s="12">
        <v>0</v>
      </c>
      <c r="T3" s="12">
        <f t="shared" si="1"/>
        <v>1299</v>
      </c>
      <c r="U3" s="12">
        <f t="shared" si="2"/>
        <v>0</v>
      </c>
      <c r="V3" s="12"/>
      <c r="W3" s="72">
        <f t="shared" si="3"/>
        <v>1299</v>
      </c>
      <c r="X3" s="12">
        <f t="shared" si="4"/>
        <v>0</v>
      </c>
      <c r="Y3" s="3">
        <f t="shared" si="5"/>
        <v>0</v>
      </c>
      <c r="Z3" s="12">
        <f t="shared" ref="Z3:Z22" si="9">W3+Y3</f>
        <v>1299</v>
      </c>
      <c r="AA3" s="12">
        <f t="shared" ref="AA3:AA57" si="10">E3-Z3</f>
        <v>0</v>
      </c>
      <c r="AB3" s="3">
        <f t="shared" ref="AB3:AB57" si="11">ROUND(IF(((E3*F3)+Z3)&gt;E3,AA3,(E3*F3)),2)</f>
        <v>0</v>
      </c>
      <c r="AC3" s="12">
        <f t="shared" ref="AC3:AC57" si="12">AB3+Z3</f>
        <v>1299</v>
      </c>
      <c r="AD3" s="12">
        <f t="shared" ref="AD3:AD58" si="13">E3-AC3</f>
        <v>0</v>
      </c>
      <c r="AE3" s="3">
        <f t="shared" ref="AE3:AE58" si="14">ROUND(IF(((E3*F3)+AC3)&gt;E3,AD3,(E3*F3)),2)</f>
        <v>0</v>
      </c>
      <c r="AF3" s="12">
        <f t="shared" ref="AF3:AF60" si="15">AE3+AC3</f>
        <v>1299</v>
      </c>
      <c r="AG3" s="12">
        <f t="shared" ref="AG3:AG60" si="16">E3-AF3</f>
        <v>0</v>
      </c>
      <c r="AH3" s="3">
        <f t="shared" ref="AH3:AH61" si="17">ROUND(IF(((E3*F3)+AF3)&gt;E3,AG3,(E3*F3)),2)</f>
        <v>0</v>
      </c>
      <c r="AI3" s="12">
        <f t="shared" si="6"/>
        <v>1299</v>
      </c>
      <c r="AJ3" s="12">
        <f t="shared" ref="AJ3:AJ61" si="18">E3-AI3</f>
        <v>0</v>
      </c>
      <c r="AK3" s="3">
        <f t="shared" ref="AK3:AK64" si="19">ROUND(IF(((E3*F3)+AI3)&gt;E3,AJ3,(E3*F3)),2)</f>
        <v>0</v>
      </c>
      <c r="AL3" s="12">
        <f t="shared" ref="AL3:AL65" si="20">SUM(AI3,AK3)</f>
        <v>1299</v>
      </c>
      <c r="AM3" s="12">
        <f t="shared" si="8"/>
        <v>0</v>
      </c>
      <c r="AN3" s="3">
        <f t="shared" ref="AN3:AN65" si="21">ROUND(IF(((E3*F3)+AL3)&gt;E3,AM3,(E3*F3)),2)</f>
        <v>0</v>
      </c>
      <c r="AO3" s="12">
        <f t="shared" ref="AO3:AO65" si="22">SUM(AL3+AN3)</f>
        <v>1299</v>
      </c>
      <c r="AP3" s="12">
        <f t="shared" ref="AP3:AP65" si="23">E3-AO3</f>
        <v>0</v>
      </c>
      <c r="AQ3" s="3">
        <f t="shared" ref="AQ3:AQ65" si="24">ROUND(IF(((E3*F3)+AO3)&gt;E3,AP3,(E3*F3)),2)</f>
        <v>0</v>
      </c>
      <c r="AR3" s="12">
        <f t="shared" ref="AR3:AR65" si="25">SUM(AO3+AQ3)</f>
        <v>1299</v>
      </c>
      <c r="AS3" s="12">
        <f t="shared" ref="AS3:AS65" si="26">E3-AR3</f>
        <v>0</v>
      </c>
      <c r="AT3" s="148" t="s">
        <v>342</v>
      </c>
      <c r="AU3" s="6"/>
      <c r="AX3" s="3"/>
      <c r="AY3" s="3"/>
      <c r="AZ3" s="3"/>
      <c r="BA3" s="3"/>
      <c r="BB3" s="3"/>
    </row>
    <row r="4" spans="1:54" x14ac:dyDescent="0.25">
      <c r="A4" s="67" t="s">
        <v>14</v>
      </c>
      <c r="B4" s="67" t="s">
        <v>156</v>
      </c>
      <c r="C4" s="155" t="s">
        <v>39</v>
      </c>
      <c r="D4" s="138">
        <v>40677</v>
      </c>
      <c r="E4" s="133">
        <v>599</v>
      </c>
      <c r="F4" s="69">
        <v>0.25</v>
      </c>
      <c r="G4" s="70">
        <v>1</v>
      </c>
      <c r="H4" s="67" t="s">
        <v>21</v>
      </c>
      <c r="I4" s="67" t="s">
        <v>16</v>
      </c>
      <c r="J4" s="67" t="s">
        <v>17</v>
      </c>
      <c r="K4" s="67" t="s">
        <v>18</v>
      </c>
      <c r="L4" s="68">
        <v>40677</v>
      </c>
      <c r="M4" s="67" t="s">
        <v>38</v>
      </c>
      <c r="N4" s="67" t="s">
        <v>19</v>
      </c>
      <c r="O4" s="67" t="s">
        <v>20</v>
      </c>
      <c r="P4" s="86">
        <v>0</v>
      </c>
      <c r="Q4" s="72">
        <v>599</v>
      </c>
      <c r="R4" s="12">
        <f t="shared" si="0"/>
        <v>0</v>
      </c>
      <c r="S4" s="12">
        <v>0</v>
      </c>
      <c r="T4" s="12">
        <f t="shared" si="1"/>
        <v>599</v>
      </c>
      <c r="U4" s="12">
        <f t="shared" si="2"/>
        <v>0</v>
      </c>
      <c r="V4" s="12"/>
      <c r="W4" s="72">
        <f t="shared" si="3"/>
        <v>599</v>
      </c>
      <c r="X4" s="12">
        <f t="shared" si="4"/>
        <v>0</v>
      </c>
      <c r="Y4" s="3">
        <f t="shared" si="5"/>
        <v>0</v>
      </c>
      <c r="Z4" s="12">
        <f t="shared" si="9"/>
        <v>599</v>
      </c>
      <c r="AA4" s="12">
        <f t="shared" si="10"/>
        <v>0</v>
      </c>
      <c r="AB4" s="3">
        <f t="shared" si="11"/>
        <v>0</v>
      </c>
      <c r="AC4" s="12">
        <f t="shared" si="12"/>
        <v>599</v>
      </c>
      <c r="AD4" s="12">
        <f t="shared" si="13"/>
        <v>0</v>
      </c>
      <c r="AE4" s="3">
        <f t="shared" si="14"/>
        <v>0</v>
      </c>
      <c r="AF4" s="12">
        <f t="shared" si="15"/>
        <v>599</v>
      </c>
      <c r="AG4" s="12">
        <f t="shared" si="16"/>
        <v>0</v>
      </c>
      <c r="AH4" s="3">
        <f t="shared" si="17"/>
        <v>0</v>
      </c>
      <c r="AI4" s="12">
        <f t="shared" si="6"/>
        <v>599</v>
      </c>
      <c r="AJ4" s="12">
        <f t="shared" si="18"/>
        <v>0</v>
      </c>
      <c r="AK4" s="3">
        <f t="shared" si="19"/>
        <v>0</v>
      </c>
      <c r="AL4" s="12">
        <f t="shared" si="20"/>
        <v>599</v>
      </c>
      <c r="AM4" s="12">
        <f t="shared" si="8"/>
        <v>0</v>
      </c>
      <c r="AN4" s="3">
        <f t="shared" si="21"/>
        <v>0</v>
      </c>
      <c r="AO4" s="12">
        <f t="shared" si="22"/>
        <v>599</v>
      </c>
      <c r="AP4" s="12">
        <f t="shared" si="23"/>
        <v>0</v>
      </c>
      <c r="AQ4" s="3">
        <f t="shared" si="24"/>
        <v>0</v>
      </c>
      <c r="AR4" s="12">
        <f t="shared" si="25"/>
        <v>599</v>
      </c>
      <c r="AS4" s="12">
        <f t="shared" si="26"/>
        <v>0</v>
      </c>
      <c r="AT4" s="148" t="s">
        <v>342</v>
      </c>
    </row>
    <row r="5" spans="1:54" x14ac:dyDescent="0.25">
      <c r="A5" s="67" t="s">
        <v>14</v>
      </c>
      <c r="B5" s="67" t="s">
        <v>157</v>
      </c>
      <c r="C5" s="155" t="s">
        <v>47</v>
      </c>
      <c r="D5" s="138">
        <v>40781</v>
      </c>
      <c r="E5" s="133">
        <v>112</v>
      </c>
      <c r="F5" s="69">
        <v>0.25</v>
      </c>
      <c r="G5" s="70">
        <v>1</v>
      </c>
      <c r="H5" s="67" t="s">
        <v>21</v>
      </c>
      <c r="I5" s="67" t="s">
        <v>16</v>
      </c>
      <c r="J5" s="67" t="s">
        <v>17</v>
      </c>
      <c r="K5" s="67" t="s">
        <v>48</v>
      </c>
      <c r="L5" s="68">
        <v>40783</v>
      </c>
      <c r="M5" s="67" t="s">
        <v>49</v>
      </c>
      <c r="N5" s="67" t="s">
        <v>19</v>
      </c>
      <c r="O5" s="67" t="s">
        <v>43</v>
      </c>
      <c r="P5" s="86">
        <v>0</v>
      </c>
      <c r="Q5" s="72">
        <v>112</v>
      </c>
      <c r="R5" s="12">
        <f t="shared" si="0"/>
        <v>0</v>
      </c>
      <c r="S5" s="12">
        <v>0</v>
      </c>
      <c r="T5" s="12">
        <f t="shared" si="1"/>
        <v>112</v>
      </c>
      <c r="U5" s="12">
        <f t="shared" si="2"/>
        <v>0</v>
      </c>
      <c r="V5" s="12"/>
      <c r="W5" s="72">
        <f t="shared" si="3"/>
        <v>112</v>
      </c>
      <c r="X5" s="12">
        <f t="shared" si="4"/>
        <v>0</v>
      </c>
      <c r="Y5" s="3">
        <f t="shared" si="5"/>
        <v>0</v>
      </c>
      <c r="Z5" s="12">
        <f t="shared" si="9"/>
        <v>112</v>
      </c>
      <c r="AA5" s="12">
        <f t="shared" si="10"/>
        <v>0</v>
      </c>
      <c r="AB5" s="3">
        <f t="shared" si="11"/>
        <v>0</v>
      </c>
      <c r="AC5" s="12">
        <f t="shared" si="12"/>
        <v>112</v>
      </c>
      <c r="AD5" s="12">
        <f t="shared" si="13"/>
        <v>0</v>
      </c>
      <c r="AE5" s="3">
        <f t="shared" si="14"/>
        <v>0</v>
      </c>
      <c r="AF5" s="12">
        <f t="shared" si="15"/>
        <v>112</v>
      </c>
      <c r="AG5" s="12">
        <f t="shared" si="16"/>
        <v>0</v>
      </c>
      <c r="AH5" s="3">
        <f t="shared" si="17"/>
        <v>0</v>
      </c>
      <c r="AI5" s="12">
        <f t="shared" si="6"/>
        <v>112</v>
      </c>
      <c r="AJ5" s="12">
        <f t="shared" si="18"/>
        <v>0</v>
      </c>
      <c r="AK5" s="3">
        <f t="shared" si="19"/>
        <v>0</v>
      </c>
      <c r="AL5" s="12">
        <f t="shared" si="20"/>
        <v>112</v>
      </c>
      <c r="AM5" s="12">
        <f t="shared" si="8"/>
        <v>0</v>
      </c>
      <c r="AN5" s="3">
        <f t="shared" si="21"/>
        <v>0</v>
      </c>
      <c r="AO5" s="12">
        <f t="shared" si="22"/>
        <v>112</v>
      </c>
      <c r="AP5" s="12">
        <f t="shared" si="23"/>
        <v>0</v>
      </c>
      <c r="AQ5" s="3">
        <f t="shared" si="24"/>
        <v>0</v>
      </c>
      <c r="AR5" s="12">
        <f t="shared" si="25"/>
        <v>112</v>
      </c>
      <c r="AS5" s="12">
        <f t="shared" si="26"/>
        <v>0</v>
      </c>
      <c r="AT5" s="148" t="s">
        <v>342</v>
      </c>
      <c r="AU5" s="16"/>
      <c r="AV5" s="16" t="s">
        <v>117</v>
      </c>
      <c r="AW5" s="16" t="s">
        <v>113</v>
      </c>
      <c r="AX5" s="16" t="s">
        <v>114</v>
      </c>
      <c r="AY5" s="16" t="s">
        <v>106</v>
      </c>
      <c r="AZ5" s="16" t="s">
        <v>3</v>
      </c>
      <c r="BA5" s="16" t="s">
        <v>124</v>
      </c>
    </row>
    <row r="6" spans="1:54" x14ac:dyDescent="0.25">
      <c r="A6" s="67" t="s">
        <v>14</v>
      </c>
      <c r="B6" s="67" t="s">
        <v>158</v>
      </c>
      <c r="C6" s="155" t="s">
        <v>50</v>
      </c>
      <c r="D6" s="138">
        <v>40785</v>
      </c>
      <c r="E6" s="133">
        <v>973.72</v>
      </c>
      <c r="F6" s="71">
        <v>0.25</v>
      </c>
      <c r="G6" s="70">
        <v>1</v>
      </c>
      <c r="H6" s="67" t="s">
        <v>21</v>
      </c>
      <c r="I6" s="67" t="s">
        <v>16</v>
      </c>
      <c r="J6" s="67" t="s">
        <v>17</v>
      </c>
      <c r="K6" s="67" t="s">
        <v>51</v>
      </c>
      <c r="L6" s="68">
        <v>40785</v>
      </c>
      <c r="M6" s="67" t="s">
        <v>52</v>
      </c>
      <c r="N6" s="67" t="s">
        <v>19</v>
      </c>
      <c r="O6" s="67" t="s">
        <v>43</v>
      </c>
      <c r="P6" s="86">
        <v>0</v>
      </c>
      <c r="Q6" s="72">
        <v>973.72</v>
      </c>
      <c r="R6" s="12">
        <f t="shared" si="0"/>
        <v>0</v>
      </c>
      <c r="S6" s="12">
        <v>0</v>
      </c>
      <c r="T6" s="12">
        <f t="shared" si="1"/>
        <v>973.72</v>
      </c>
      <c r="U6" s="12">
        <f t="shared" si="2"/>
        <v>0</v>
      </c>
      <c r="V6" s="12"/>
      <c r="W6" s="119">
        <f t="shared" si="3"/>
        <v>973.72</v>
      </c>
      <c r="X6" s="12">
        <f t="shared" si="4"/>
        <v>0</v>
      </c>
      <c r="Y6" s="3">
        <f t="shared" si="5"/>
        <v>0</v>
      </c>
      <c r="Z6" s="12">
        <f t="shared" si="9"/>
        <v>973.72</v>
      </c>
      <c r="AA6" s="12">
        <f t="shared" si="10"/>
        <v>0</v>
      </c>
      <c r="AB6" s="3">
        <f t="shared" si="11"/>
        <v>0</v>
      </c>
      <c r="AC6" s="12">
        <f t="shared" si="12"/>
        <v>973.72</v>
      </c>
      <c r="AD6" s="12">
        <f t="shared" si="13"/>
        <v>0</v>
      </c>
      <c r="AE6" s="3">
        <f t="shared" si="14"/>
        <v>0</v>
      </c>
      <c r="AF6" s="12">
        <f t="shared" si="15"/>
        <v>973.72</v>
      </c>
      <c r="AG6" s="12">
        <f t="shared" si="16"/>
        <v>0</v>
      </c>
      <c r="AH6" s="3">
        <f t="shared" si="17"/>
        <v>0</v>
      </c>
      <c r="AI6" s="12">
        <f t="shared" si="6"/>
        <v>973.72</v>
      </c>
      <c r="AJ6" s="12">
        <f t="shared" si="18"/>
        <v>0</v>
      </c>
      <c r="AK6" s="3">
        <f t="shared" si="19"/>
        <v>0</v>
      </c>
      <c r="AL6" s="12">
        <f t="shared" si="20"/>
        <v>973.72</v>
      </c>
      <c r="AM6" s="12">
        <f t="shared" si="8"/>
        <v>0</v>
      </c>
      <c r="AN6" s="3">
        <f t="shared" si="21"/>
        <v>0</v>
      </c>
      <c r="AO6" s="12">
        <f t="shared" si="22"/>
        <v>973.72</v>
      </c>
      <c r="AP6" s="12">
        <f t="shared" si="23"/>
        <v>0</v>
      </c>
      <c r="AQ6" s="3">
        <f t="shared" si="24"/>
        <v>0</v>
      </c>
      <c r="AR6" s="12">
        <f t="shared" si="25"/>
        <v>973.72</v>
      </c>
      <c r="AS6" s="12">
        <f t="shared" si="26"/>
        <v>0</v>
      </c>
      <c r="AT6" s="148" t="s">
        <v>342</v>
      </c>
      <c r="AV6" s="3">
        <v>1083.73</v>
      </c>
      <c r="AW6" s="3">
        <v>1243.23</v>
      </c>
      <c r="AX6">
        <v>159.5</v>
      </c>
      <c r="AY6" s="15">
        <v>39752</v>
      </c>
      <c r="AZ6" s="11">
        <v>0.1</v>
      </c>
      <c r="BA6" s="15">
        <v>42005</v>
      </c>
    </row>
    <row r="7" spans="1:54" x14ac:dyDescent="0.25">
      <c r="A7" s="67" t="s">
        <v>14</v>
      </c>
      <c r="B7" s="67" t="s">
        <v>159</v>
      </c>
      <c r="C7" s="155" t="s">
        <v>53</v>
      </c>
      <c r="D7" s="138">
        <v>40880</v>
      </c>
      <c r="E7" s="133">
        <v>1397.46</v>
      </c>
      <c r="F7" s="71">
        <v>0.25</v>
      </c>
      <c r="G7" s="70">
        <v>1</v>
      </c>
      <c r="H7" s="67" t="s">
        <v>21</v>
      </c>
      <c r="I7" s="67" t="s">
        <v>16</v>
      </c>
      <c r="J7" s="67" t="s">
        <v>17</v>
      </c>
      <c r="K7" s="67" t="s">
        <v>51</v>
      </c>
      <c r="L7" s="68">
        <v>40880</v>
      </c>
      <c r="M7" s="67" t="s">
        <v>54</v>
      </c>
      <c r="N7" s="67" t="s">
        <v>19</v>
      </c>
      <c r="O7" s="67" t="s">
        <v>43</v>
      </c>
      <c r="P7" s="86">
        <v>11.464999999999918</v>
      </c>
      <c r="Q7" s="72">
        <v>1397.46</v>
      </c>
      <c r="R7" s="12">
        <f t="shared" si="0"/>
        <v>0</v>
      </c>
      <c r="S7" s="12">
        <v>0</v>
      </c>
      <c r="T7" s="12">
        <f t="shared" si="1"/>
        <v>1397.46</v>
      </c>
      <c r="U7" s="12">
        <f t="shared" si="2"/>
        <v>0</v>
      </c>
      <c r="V7" s="12"/>
      <c r="W7" s="72">
        <f t="shared" si="3"/>
        <v>1397.46</v>
      </c>
      <c r="X7" s="12">
        <f t="shared" si="4"/>
        <v>0</v>
      </c>
      <c r="Y7" s="3">
        <f t="shared" si="5"/>
        <v>0</v>
      </c>
      <c r="Z7" s="12">
        <f t="shared" si="9"/>
        <v>1397.46</v>
      </c>
      <c r="AA7" s="12">
        <f t="shared" si="10"/>
        <v>0</v>
      </c>
      <c r="AB7" s="3">
        <f t="shared" si="11"/>
        <v>0</v>
      </c>
      <c r="AC7" s="12">
        <f t="shared" si="12"/>
        <v>1397.46</v>
      </c>
      <c r="AD7" s="12">
        <f t="shared" si="13"/>
        <v>0</v>
      </c>
      <c r="AE7" s="3">
        <f t="shared" si="14"/>
        <v>0</v>
      </c>
      <c r="AF7" s="12">
        <f t="shared" si="15"/>
        <v>1397.46</v>
      </c>
      <c r="AG7" s="12">
        <f t="shared" si="16"/>
        <v>0</v>
      </c>
      <c r="AH7" s="3">
        <f t="shared" si="17"/>
        <v>0</v>
      </c>
      <c r="AI7" s="12">
        <f t="shared" si="6"/>
        <v>1397.46</v>
      </c>
      <c r="AJ7" s="12">
        <f t="shared" si="18"/>
        <v>0</v>
      </c>
      <c r="AK7" s="3">
        <f t="shared" si="19"/>
        <v>0</v>
      </c>
      <c r="AL7" s="12">
        <f t="shared" si="20"/>
        <v>1397.46</v>
      </c>
      <c r="AM7" s="12">
        <f t="shared" si="8"/>
        <v>0</v>
      </c>
      <c r="AN7" s="3">
        <f t="shared" si="21"/>
        <v>0</v>
      </c>
      <c r="AO7" s="12">
        <f t="shared" si="22"/>
        <v>1397.46</v>
      </c>
      <c r="AP7" s="12">
        <f t="shared" si="23"/>
        <v>0</v>
      </c>
      <c r="AQ7" s="3">
        <f t="shared" si="24"/>
        <v>0</v>
      </c>
      <c r="AR7" s="12">
        <f t="shared" si="25"/>
        <v>1397.46</v>
      </c>
      <c r="AS7" s="12">
        <f t="shared" si="26"/>
        <v>0</v>
      </c>
      <c r="AT7" s="148" t="s">
        <v>342</v>
      </c>
    </row>
    <row r="8" spans="1:54" x14ac:dyDescent="0.25">
      <c r="A8" s="67" t="s">
        <v>14</v>
      </c>
      <c r="B8" s="67" t="s">
        <v>160</v>
      </c>
      <c r="C8" s="155" t="s">
        <v>55</v>
      </c>
      <c r="D8" s="138">
        <v>40775</v>
      </c>
      <c r="E8" s="133">
        <v>505.99</v>
      </c>
      <c r="F8" s="71">
        <v>0.25</v>
      </c>
      <c r="G8" s="70">
        <v>1</v>
      </c>
      <c r="H8" s="67" t="s">
        <v>21</v>
      </c>
      <c r="I8" s="67" t="s">
        <v>16</v>
      </c>
      <c r="J8" s="67" t="s">
        <v>17</v>
      </c>
      <c r="K8" s="67" t="s">
        <v>51</v>
      </c>
      <c r="L8" s="68">
        <v>40775</v>
      </c>
      <c r="M8" s="67" t="s">
        <v>56</v>
      </c>
      <c r="N8" s="67" t="s">
        <v>19</v>
      </c>
      <c r="O8" s="67" t="s">
        <v>43</v>
      </c>
      <c r="P8" s="86">
        <v>0</v>
      </c>
      <c r="Q8" s="72">
        <v>505.99</v>
      </c>
      <c r="R8" s="12">
        <f t="shared" si="0"/>
        <v>0</v>
      </c>
      <c r="S8" s="12">
        <v>0</v>
      </c>
      <c r="T8" s="12">
        <f t="shared" si="1"/>
        <v>505.99</v>
      </c>
      <c r="U8" s="12">
        <f t="shared" si="2"/>
        <v>0</v>
      </c>
      <c r="V8" s="12"/>
      <c r="W8" s="72">
        <f t="shared" si="3"/>
        <v>505.99</v>
      </c>
      <c r="X8" s="12">
        <f t="shared" si="4"/>
        <v>0</v>
      </c>
      <c r="Y8" s="3">
        <f t="shared" si="5"/>
        <v>0</v>
      </c>
      <c r="Z8" s="12">
        <f t="shared" si="9"/>
        <v>505.99</v>
      </c>
      <c r="AA8" s="12">
        <f t="shared" si="10"/>
        <v>0</v>
      </c>
      <c r="AB8" s="3">
        <f t="shared" si="11"/>
        <v>0</v>
      </c>
      <c r="AC8" s="12">
        <f t="shared" si="12"/>
        <v>505.99</v>
      </c>
      <c r="AD8" s="12">
        <f t="shared" si="13"/>
        <v>0</v>
      </c>
      <c r="AE8" s="3">
        <f t="shared" si="14"/>
        <v>0</v>
      </c>
      <c r="AF8" s="12">
        <f t="shared" si="15"/>
        <v>505.99</v>
      </c>
      <c r="AG8" s="12">
        <f t="shared" si="16"/>
        <v>0</v>
      </c>
      <c r="AH8" s="3">
        <f t="shared" si="17"/>
        <v>0</v>
      </c>
      <c r="AI8" s="12">
        <f t="shared" si="6"/>
        <v>505.99</v>
      </c>
      <c r="AJ8" s="12">
        <f t="shared" si="18"/>
        <v>0</v>
      </c>
      <c r="AK8" s="3">
        <f t="shared" si="19"/>
        <v>0</v>
      </c>
      <c r="AL8" s="12">
        <f t="shared" si="20"/>
        <v>505.99</v>
      </c>
      <c r="AM8" s="12">
        <f t="shared" si="8"/>
        <v>0</v>
      </c>
      <c r="AN8" s="3">
        <f t="shared" si="21"/>
        <v>0</v>
      </c>
      <c r="AO8" s="12">
        <f t="shared" si="22"/>
        <v>505.99</v>
      </c>
      <c r="AP8" s="12">
        <f t="shared" si="23"/>
        <v>0</v>
      </c>
      <c r="AQ8" s="3">
        <f t="shared" si="24"/>
        <v>0</v>
      </c>
      <c r="AR8" s="12">
        <f t="shared" si="25"/>
        <v>505.99</v>
      </c>
      <c r="AS8" s="12">
        <f t="shared" si="26"/>
        <v>0</v>
      </c>
      <c r="AT8" s="148" t="s">
        <v>342</v>
      </c>
    </row>
    <row r="9" spans="1:54" x14ac:dyDescent="0.25">
      <c r="A9" s="67" t="s">
        <v>14</v>
      </c>
      <c r="B9" s="67" t="s">
        <v>161</v>
      </c>
      <c r="C9" s="155" t="s">
        <v>57</v>
      </c>
      <c r="D9" s="138">
        <v>40783</v>
      </c>
      <c r="E9" s="133">
        <v>265.8</v>
      </c>
      <c r="F9" s="71">
        <v>0.25</v>
      </c>
      <c r="G9" s="70">
        <v>1</v>
      </c>
      <c r="H9" s="67" t="s">
        <v>21</v>
      </c>
      <c r="I9" s="67" t="s">
        <v>16</v>
      </c>
      <c r="J9" s="67" t="s">
        <v>17</v>
      </c>
      <c r="K9" s="67" t="s">
        <v>51</v>
      </c>
      <c r="L9" s="68">
        <v>40783</v>
      </c>
      <c r="M9" s="67" t="s">
        <v>58</v>
      </c>
      <c r="N9" s="67" t="s">
        <v>19</v>
      </c>
      <c r="O9" s="67" t="s">
        <v>43</v>
      </c>
      <c r="P9" s="86">
        <v>0</v>
      </c>
      <c r="Q9" s="72">
        <v>265.8</v>
      </c>
      <c r="R9" s="12">
        <f t="shared" si="0"/>
        <v>0</v>
      </c>
      <c r="S9" s="12">
        <v>0</v>
      </c>
      <c r="T9" s="12">
        <f t="shared" si="1"/>
        <v>265.8</v>
      </c>
      <c r="U9" s="12">
        <f t="shared" si="2"/>
        <v>0</v>
      </c>
      <c r="V9" s="12"/>
      <c r="W9" s="72">
        <f t="shared" si="3"/>
        <v>265.8</v>
      </c>
      <c r="X9" s="12">
        <f t="shared" si="4"/>
        <v>0</v>
      </c>
      <c r="Y9" s="3">
        <f t="shared" si="5"/>
        <v>0</v>
      </c>
      <c r="Z9" s="12">
        <f t="shared" si="9"/>
        <v>265.8</v>
      </c>
      <c r="AA9" s="12">
        <f t="shared" si="10"/>
        <v>0</v>
      </c>
      <c r="AB9" s="3">
        <f t="shared" si="11"/>
        <v>0</v>
      </c>
      <c r="AC9" s="12">
        <f t="shared" si="12"/>
        <v>265.8</v>
      </c>
      <c r="AD9" s="12">
        <f t="shared" si="13"/>
        <v>0</v>
      </c>
      <c r="AE9" s="3">
        <f t="shared" si="14"/>
        <v>0</v>
      </c>
      <c r="AF9" s="12">
        <f t="shared" si="15"/>
        <v>265.8</v>
      </c>
      <c r="AG9" s="12">
        <f t="shared" si="16"/>
        <v>0</v>
      </c>
      <c r="AH9" s="3">
        <f t="shared" si="17"/>
        <v>0</v>
      </c>
      <c r="AI9" s="12">
        <f t="shared" si="6"/>
        <v>265.8</v>
      </c>
      <c r="AJ9" s="12">
        <f t="shared" si="18"/>
        <v>0</v>
      </c>
      <c r="AK9" s="3">
        <f t="shared" si="19"/>
        <v>0</v>
      </c>
      <c r="AL9" s="12">
        <f t="shared" si="20"/>
        <v>265.8</v>
      </c>
      <c r="AM9" s="12">
        <f t="shared" si="8"/>
        <v>0</v>
      </c>
      <c r="AN9" s="3">
        <f t="shared" si="21"/>
        <v>0</v>
      </c>
      <c r="AO9" s="12">
        <f t="shared" si="22"/>
        <v>265.8</v>
      </c>
      <c r="AP9" s="12">
        <f t="shared" si="23"/>
        <v>0</v>
      </c>
      <c r="AQ9" s="3">
        <f t="shared" si="24"/>
        <v>0</v>
      </c>
      <c r="AR9" s="12">
        <f t="shared" si="25"/>
        <v>265.8</v>
      </c>
      <c r="AS9" s="12">
        <f t="shared" si="26"/>
        <v>0</v>
      </c>
      <c r="AT9" s="148" t="s">
        <v>342</v>
      </c>
      <c r="AV9" s="3">
        <v>24214.87</v>
      </c>
      <c r="AW9" s="18" t="s">
        <v>112</v>
      </c>
      <c r="AX9" t="s">
        <v>118</v>
      </c>
      <c r="AY9" t="s">
        <v>120</v>
      </c>
      <c r="AZ9" t="s">
        <v>121</v>
      </c>
      <c r="BA9" t="s">
        <v>122</v>
      </c>
      <c r="BB9" t="s">
        <v>123</v>
      </c>
    </row>
    <row r="10" spans="1:54" x14ac:dyDescent="0.25">
      <c r="A10" s="67" t="s">
        <v>14</v>
      </c>
      <c r="B10" s="67" t="s">
        <v>162</v>
      </c>
      <c r="C10" s="155" t="s">
        <v>59</v>
      </c>
      <c r="D10" s="138">
        <v>40834</v>
      </c>
      <c r="E10" s="133">
        <v>224.79</v>
      </c>
      <c r="F10" s="71">
        <v>0.25</v>
      </c>
      <c r="G10" s="70">
        <v>1</v>
      </c>
      <c r="H10" s="67" t="s">
        <v>21</v>
      </c>
      <c r="I10" s="67" t="s">
        <v>16</v>
      </c>
      <c r="J10" s="67" t="s">
        <v>17</v>
      </c>
      <c r="K10" s="67" t="s">
        <v>51</v>
      </c>
      <c r="L10" s="68">
        <v>40834</v>
      </c>
      <c r="M10" s="67" t="s">
        <v>60</v>
      </c>
      <c r="N10" s="67" t="s">
        <v>19</v>
      </c>
      <c r="O10" s="67" t="s">
        <v>43</v>
      </c>
      <c r="P10" s="86">
        <v>0</v>
      </c>
      <c r="Q10" s="72">
        <v>224.79</v>
      </c>
      <c r="R10" s="12">
        <f t="shared" si="0"/>
        <v>0</v>
      </c>
      <c r="S10" s="12">
        <v>0</v>
      </c>
      <c r="T10" s="12">
        <f t="shared" si="1"/>
        <v>224.79</v>
      </c>
      <c r="U10" s="12">
        <f t="shared" si="2"/>
        <v>0</v>
      </c>
      <c r="V10" s="12"/>
      <c r="W10" s="72">
        <f t="shared" si="3"/>
        <v>224.79</v>
      </c>
      <c r="X10" s="12">
        <f t="shared" si="4"/>
        <v>0</v>
      </c>
      <c r="Y10" s="3">
        <f t="shared" si="5"/>
        <v>0</v>
      </c>
      <c r="Z10" s="12">
        <f t="shared" si="9"/>
        <v>224.79</v>
      </c>
      <c r="AA10" s="12">
        <f t="shared" si="10"/>
        <v>0</v>
      </c>
      <c r="AB10" s="3">
        <f t="shared" si="11"/>
        <v>0</v>
      </c>
      <c r="AC10" s="12">
        <f t="shared" si="12"/>
        <v>224.79</v>
      </c>
      <c r="AD10" s="12">
        <f t="shared" si="13"/>
        <v>0</v>
      </c>
      <c r="AE10" s="3">
        <f t="shared" si="14"/>
        <v>0</v>
      </c>
      <c r="AF10" s="12">
        <f t="shared" si="15"/>
        <v>224.79</v>
      </c>
      <c r="AG10" s="12">
        <f t="shared" si="16"/>
        <v>0</v>
      </c>
      <c r="AH10" s="3">
        <f t="shared" si="17"/>
        <v>0</v>
      </c>
      <c r="AI10" s="12">
        <f>SUM(AF10,AH10)</f>
        <v>224.79</v>
      </c>
      <c r="AJ10" s="12">
        <f t="shared" si="18"/>
        <v>0</v>
      </c>
      <c r="AK10" s="3">
        <f t="shared" si="19"/>
        <v>0</v>
      </c>
      <c r="AL10" s="12">
        <f t="shared" si="20"/>
        <v>224.79</v>
      </c>
      <c r="AM10" s="12">
        <f t="shared" si="8"/>
        <v>0</v>
      </c>
      <c r="AN10" s="3">
        <f t="shared" si="21"/>
        <v>0</v>
      </c>
      <c r="AO10" s="12">
        <f t="shared" si="22"/>
        <v>224.79</v>
      </c>
      <c r="AP10" s="12">
        <f t="shared" si="23"/>
        <v>0</v>
      </c>
      <c r="AQ10" s="3">
        <f t="shared" si="24"/>
        <v>0</v>
      </c>
      <c r="AR10" s="12">
        <f t="shared" si="25"/>
        <v>224.79</v>
      </c>
      <c r="AS10" s="12">
        <f t="shared" si="26"/>
        <v>0</v>
      </c>
      <c r="AT10" s="148" t="s">
        <v>342</v>
      </c>
      <c r="AV10" s="3">
        <v>1595.0699999999997</v>
      </c>
      <c r="AW10" t="s">
        <v>119</v>
      </c>
      <c r="AX10" s="3">
        <v>36108.78</v>
      </c>
      <c r="AY10" s="3">
        <v>5492.2599999999993</v>
      </c>
      <c r="AZ10" s="3">
        <v>15791.17</v>
      </c>
      <c r="BA10" s="3">
        <v>1595</v>
      </c>
      <c r="BB10" s="3">
        <v>24214.870000000003</v>
      </c>
    </row>
    <row r="11" spans="1:54" ht="15.75" thickBot="1" x14ac:dyDescent="0.3">
      <c r="A11" s="67" t="s">
        <v>14</v>
      </c>
      <c r="B11" s="67" t="s">
        <v>163</v>
      </c>
      <c r="C11" s="155" t="s">
        <v>61</v>
      </c>
      <c r="D11" s="138">
        <v>41165</v>
      </c>
      <c r="E11" s="133">
        <v>573.55999999999995</v>
      </c>
      <c r="F11" s="71">
        <v>0.25</v>
      </c>
      <c r="G11" s="70">
        <v>1</v>
      </c>
      <c r="H11" s="67" t="s">
        <v>21</v>
      </c>
      <c r="I11" s="67" t="s">
        <v>16</v>
      </c>
      <c r="J11" s="67" t="s">
        <v>17</v>
      </c>
      <c r="K11" s="67" t="s">
        <v>18</v>
      </c>
      <c r="L11" s="68">
        <v>41165</v>
      </c>
      <c r="M11" s="67" t="s">
        <v>62</v>
      </c>
      <c r="N11" s="67" t="s">
        <v>19</v>
      </c>
      <c r="O11" s="67" t="s">
        <v>43</v>
      </c>
      <c r="P11" s="86">
        <v>118.49999999999994</v>
      </c>
      <c r="Q11" s="72">
        <v>573.55999999999995</v>
      </c>
      <c r="R11" s="12">
        <f t="shared" si="0"/>
        <v>0</v>
      </c>
      <c r="S11" s="12">
        <v>0</v>
      </c>
      <c r="T11" s="12">
        <f t="shared" si="1"/>
        <v>573.55999999999995</v>
      </c>
      <c r="U11" s="12">
        <f t="shared" si="2"/>
        <v>0</v>
      </c>
      <c r="V11" s="12"/>
      <c r="W11" s="72">
        <f t="shared" si="3"/>
        <v>573.55999999999995</v>
      </c>
      <c r="X11" s="12">
        <f t="shared" si="4"/>
        <v>0</v>
      </c>
      <c r="Y11" s="3">
        <f t="shared" si="5"/>
        <v>0</v>
      </c>
      <c r="Z11" s="12">
        <f t="shared" si="9"/>
        <v>573.55999999999995</v>
      </c>
      <c r="AA11" s="12">
        <f t="shared" si="10"/>
        <v>0</v>
      </c>
      <c r="AB11" s="3">
        <f t="shared" si="11"/>
        <v>0</v>
      </c>
      <c r="AC11" s="12">
        <f t="shared" si="12"/>
        <v>573.55999999999995</v>
      </c>
      <c r="AD11" s="12">
        <f t="shared" si="13"/>
        <v>0</v>
      </c>
      <c r="AE11" s="3">
        <f t="shared" si="14"/>
        <v>0</v>
      </c>
      <c r="AF11" s="12">
        <f t="shared" si="15"/>
        <v>573.55999999999995</v>
      </c>
      <c r="AG11" s="12">
        <f t="shared" si="16"/>
        <v>0</v>
      </c>
      <c r="AH11" s="3">
        <f t="shared" si="17"/>
        <v>0</v>
      </c>
      <c r="AI11" s="12">
        <f t="shared" ref="AI11:AI28" si="27">SUM(AF11,AH11)</f>
        <v>573.55999999999995</v>
      </c>
      <c r="AJ11" s="12">
        <f t="shared" si="18"/>
        <v>0</v>
      </c>
      <c r="AK11" s="3">
        <f t="shared" si="19"/>
        <v>0</v>
      </c>
      <c r="AL11" s="12">
        <f t="shared" si="20"/>
        <v>573.55999999999995</v>
      </c>
      <c r="AM11" s="12">
        <f t="shared" si="8"/>
        <v>0</v>
      </c>
      <c r="AN11" s="3">
        <f t="shared" si="21"/>
        <v>0</v>
      </c>
      <c r="AO11" s="12">
        <f t="shared" si="22"/>
        <v>573.55999999999995</v>
      </c>
      <c r="AP11" s="12">
        <f t="shared" si="23"/>
        <v>0</v>
      </c>
      <c r="AQ11" s="3">
        <f t="shared" si="24"/>
        <v>0</v>
      </c>
      <c r="AR11" s="12">
        <f t="shared" si="25"/>
        <v>573.55999999999995</v>
      </c>
      <c r="AS11" s="12">
        <f t="shared" si="26"/>
        <v>0</v>
      </c>
      <c r="AT11" s="148" t="s">
        <v>342</v>
      </c>
      <c r="AW11" t="s">
        <v>108</v>
      </c>
      <c r="AX11" s="8">
        <v>34513.79</v>
      </c>
      <c r="AY11" s="17">
        <v>5492.26</v>
      </c>
      <c r="AZ11" s="8">
        <v>15791.17</v>
      </c>
      <c r="BA11" s="8">
        <v>1595</v>
      </c>
      <c r="BB11" s="8">
        <v>22619.880000000005</v>
      </c>
    </row>
    <row r="12" spans="1:54" x14ac:dyDescent="0.25">
      <c r="A12" s="67" t="s">
        <v>14</v>
      </c>
      <c r="B12" s="67" t="s">
        <v>164</v>
      </c>
      <c r="C12" s="155" t="s">
        <v>67</v>
      </c>
      <c r="D12" s="138">
        <v>41195</v>
      </c>
      <c r="E12" s="133">
        <v>92.56</v>
      </c>
      <c r="F12" s="71">
        <v>0.25</v>
      </c>
      <c r="G12" s="70">
        <v>1</v>
      </c>
      <c r="H12" s="67" t="s">
        <v>21</v>
      </c>
      <c r="I12" s="67" t="s">
        <v>16</v>
      </c>
      <c r="J12" s="67" t="s">
        <v>17</v>
      </c>
      <c r="K12" s="67" t="s">
        <v>18</v>
      </c>
      <c r="L12" s="68">
        <v>41195</v>
      </c>
      <c r="M12" s="67" t="s">
        <v>68</v>
      </c>
      <c r="N12" s="67" t="s">
        <v>19</v>
      </c>
      <c r="O12" s="67" t="s">
        <v>43</v>
      </c>
      <c r="P12" s="86">
        <v>21.039999999999992</v>
      </c>
      <c r="Q12" s="72">
        <v>92.56</v>
      </c>
      <c r="R12" s="12">
        <f t="shared" si="0"/>
        <v>0</v>
      </c>
      <c r="S12" s="12">
        <v>0</v>
      </c>
      <c r="T12" s="12">
        <f t="shared" si="1"/>
        <v>92.56</v>
      </c>
      <c r="U12" s="12">
        <f t="shared" si="2"/>
        <v>0</v>
      </c>
      <c r="V12" s="12"/>
      <c r="W12" s="72">
        <f t="shared" si="3"/>
        <v>92.56</v>
      </c>
      <c r="X12" s="12">
        <f t="shared" si="4"/>
        <v>0</v>
      </c>
      <c r="Y12" s="3">
        <f t="shared" si="5"/>
        <v>0</v>
      </c>
      <c r="Z12" s="12">
        <f t="shared" si="9"/>
        <v>92.56</v>
      </c>
      <c r="AA12" s="12">
        <f t="shared" si="10"/>
        <v>0</v>
      </c>
      <c r="AB12" s="3">
        <f t="shared" si="11"/>
        <v>0</v>
      </c>
      <c r="AC12" s="12">
        <f t="shared" si="12"/>
        <v>92.56</v>
      </c>
      <c r="AD12" s="12">
        <f t="shared" si="13"/>
        <v>0</v>
      </c>
      <c r="AE12" s="3">
        <f t="shared" si="14"/>
        <v>0</v>
      </c>
      <c r="AF12" s="12">
        <f t="shared" si="15"/>
        <v>92.56</v>
      </c>
      <c r="AG12" s="12">
        <f t="shared" si="16"/>
        <v>0</v>
      </c>
      <c r="AH12" s="3">
        <f t="shared" si="17"/>
        <v>0</v>
      </c>
      <c r="AI12" s="12">
        <f t="shared" si="27"/>
        <v>92.56</v>
      </c>
      <c r="AJ12" s="12">
        <f t="shared" si="18"/>
        <v>0</v>
      </c>
      <c r="AK12" s="3">
        <f t="shared" si="19"/>
        <v>0</v>
      </c>
      <c r="AL12" s="12">
        <f t="shared" si="20"/>
        <v>92.56</v>
      </c>
      <c r="AM12" s="12">
        <f t="shared" si="8"/>
        <v>0</v>
      </c>
      <c r="AN12" s="3">
        <f t="shared" si="21"/>
        <v>0</v>
      </c>
      <c r="AO12" s="12">
        <f t="shared" si="22"/>
        <v>92.56</v>
      </c>
      <c r="AP12" s="12">
        <f t="shared" si="23"/>
        <v>0</v>
      </c>
      <c r="AQ12" s="3">
        <f t="shared" si="24"/>
        <v>0</v>
      </c>
      <c r="AR12" s="12">
        <f t="shared" si="25"/>
        <v>92.56</v>
      </c>
      <c r="AS12" s="12">
        <f t="shared" si="26"/>
        <v>0</v>
      </c>
      <c r="AT12" s="148" t="s">
        <v>342</v>
      </c>
      <c r="AW12" t="s">
        <v>110</v>
      </c>
      <c r="AX12" s="12">
        <v>-1594.989999999998</v>
      </c>
      <c r="AY12" s="3">
        <v>0</v>
      </c>
      <c r="AZ12" s="3">
        <v>0</v>
      </c>
      <c r="BA12" s="3">
        <v>0</v>
      </c>
      <c r="BB12" s="12">
        <v>-1594.989999999998</v>
      </c>
    </row>
    <row r="13" spans="1:54" x14ac:dyDescent="0.25">
      <c r="A13" s="67" t="s">
        <v>14</v>
      </c>
      <c r="B13" s="67" t="s">
        <v>165</v>
      </c>
      <c r="C13" s="155" t="s">
        <v>69</v>
      </c>
      <c r="D13" s="138">
        <v>41218</v>
      </c>
      <c r="E13" s="133">
        <v>1006</v>
      </c>
      <c r="F13" s="71">
        <v>0.25</v>
      </c>
      <c r="G13" s="70">
        <v>1</v>
      </c>
      <c r="H13" s="67" t="s">
        <v>21</v>
      </c>
      <c r="I13" s="67" t="s">
        <v>16</v>
      </c>
      <c r="J13" s="67" t="s">
        <v>17</v>
      </c>
      <c r="K13" s="67" t="s">
        <v>18</v>
      </c>
      <c r="L13" s="68">
        <v>41218</v>
      </c>
      <c r="M13" s="67" t="s">
        <v>70</v>
      </c>
      <c r="N13" s="67" t="s">
        <v>19</v>
      </c>
      <c r="O13" s="67" t="s">
        <v>43</v>
      </c>
      <c r="P13" s="86">
        <v>223.88</v>
      </c>
      <c r="Q13" s="72">
        <v>1006</v>
      </c>
      <c r="R13" s="12">
        <f t="shared" si="0"/>
        <v>0</v>
      </c>
      <c r="S13" s="12">
        <v>0</v>
      </c>
      <c r="T13" s="12">
        <f t="shared" si="1"/>
        <v>1006</v>
      </c>
      <c r="U13" s="12">
        <f t="shared" si="2"/>
        <v>0</v>
      </c>
      <c r="V13" s="12"/>
      <c r="W13" s="72">
        <f t="shared" si="3"/>
        <v>1006</v>
      </c>
      <c r="X13" s="12">
        <f t="shared" si="4"/>
        <v>0</v>
      </c>
      <c r="Y13" s="3">
        <f t="shared" si="5"/>
        <v>0</v>
      </c>
      <c r="Z13" s="12">
        <f t="shared" si="9"/>
        <v>1006</v>
      </c>
      <c r="AA13" s="12">
        <f t="shared" si="10"/>
        <v>0</v>
      </c>
      <c r="AB13" s="3">
        <f t="shared" si="11"/>
        <v>0</v>
      </c>
      <c r="AC13" s="12">
        <f t="shared" si="12"/>
        <v>1006</v>
      </c>
      <c r="AD13" s="12">
        <f t="shared" si="13"/>
        <v>0</v>
      </c>
      <c r="AE13" s="3">
        <f t="shared" si="14"/>
        <v>0</v>
      </c>
      <c r="AF13" s="12">
        <f t="shared" si="15"/>
        <v>1006</v>
      </c>
      <c r="AG13" s="12">
        <f t="shared" si="16"/>
        <v>0</v>
      </c>
      <c r="AH13" s="3">
        <f t="shared" si="17"/>
        <v>0</v>
      </c>
      <c r="AI13" s="12">
        <f t="shared" si="27"/>
        <v>1006</v>
      </c>
      <c r="AJ13" s="12">
        <f t="shared" si="18"/>
        <v>0</v>
      </c>
      <c r="AK13" s="3">
        <f t="shared" si="19"/>
        <v>0</v>
      </c>
      <c r="AL13" s="12">
        <f t="shared" si="20"/>
        <v>1006</v>
      </c>
      <c r="AM13" s="12">
        <f t="shared" si="8"/>
        <v>0</v>
      </c>
      <c r="AN13" s="3">
        <f t="shared" si="21"/>
        <v>0</v>
      </c>
      <c r="AO13" s="12">
        <f t="shared" si="22"/>
        <v>1006</v>
      </c>
      <c r="AP13" s="12">
        <f t="shared" si="23"/>
        <v>0</v>
      </c>
      <c r="AQ13" s="3">
        <f t="shared" si="24"/>
        <v>0</v>
      </c>
      <c r="AR13" s="12">
        <f t="shared" si="25"/>
        <v>1006</v>
      </c>
      <c r="AS13" s="12">
        <f t="shared" si="26"/>
        <v>0</v>
      </c>
      <c r="AT13" s="148" t="s">
        <v>342</v>
      </c>
      <c r="AW13" s="3"/>
    </row>
    <row r="14" spans="1:54" x14ac:dyDescent="0.25">
      <c r="A14" s="67" t="s">
        <v>14</v>
      </c>
      <c r="B14" s="67" t="s">
        <v>166</v>
      </c>
      <c r="C14" s="155" t="s">
        <v>71</v>
      </c>
      <c r="D14" s="138">
        <v>41218</v>
      </c>
      <c r="E14" s="133">
        <v>552.89</v>
      </c>
      <c r="F14" s="71">
        <v>0.25</v>
      </c>
      <c r="G14" s="70">
        <v>1</v>
      </c>
      <c r="H14" s="67" t="s">
        <v>21</v>
      </c>
      <c r="I14" s="67" t="s">
        <v>16</v>
      </c>
      <c r="J14" s="67" t="s">
        <v>17</v>
      </c>
      <c r="K14" s="67" t="s">
        <v>18</v>
      </c>
      <c r="L14" s="68">
        <v>41218</v>
      </c>
      <c r="M14" s="67" t="s">
        <v>70</v>
      </c>
      <c r="N14" s="67" t="s">
        <v>19</v>
      </c>
      <c r="O14" s="67" t="s">
        <v>43</v>
      </c>
      <c r="P14" s="86">
        <v>123.01750000000004</v>
      </c>
      <c r="Q14" s="72">
        <v>552.89</v>
      </c>
      <c r="R14" s="12">
        <f t="shared" si="0"/>
        <v>0</v>
      </c>
      <c r="S14" s="12">
        <v>0</v>
      </c>
      <c r="T14" s="12">
        <f t="shared" si="1"/>
        <v>552.89</v>
      </c>
      <c r="U14" s="12">
        <f t="shared" si="2"/>
        <v>0</v>
      </c>
      <c r="V14" s="12"/>
      <c r="W14" s="72">
        <f t="shared" si="3"/>
        <v>552.89</v>
      </c>
      <c r="X14" s="12">
        <f t="shared" si="4"/>
        <v>0</v>
      </c>
      <c r="Y14" s="3">
        <f t="shared" si="5"/>
        <v>0</v>
      </c>
      <c r="Z14" s="12">
        <f t="shared" si="9"/>
        <v>552.89</v>
      </c>
      <c r="AA14" s="12">
        <f t="shared" si="10"/>
        <v>0</v>
      </c>
      <c r="AB14" s="3">
        <f t="shared" si="11"/>
        <v>0</v>
      </c>
      <c r="AC14" s="12">
        <f t="shared" si="12"/>
        <v>552.89</v>
      </c>
      <c r="AD14" s="12">
        <f t="shared" si="13"/>
        <v>0</v>
      </c>
      <c r="AE14" s="3">
        <f t="shared" si="14"/>
        <v>0</v>
      </c>
      <c r="AF14" s="12">
        <f t="shared" si="15"/>
        <v>552.89</v>
      </c>
      <c r="AG14" s="12">
        <f t="shared" si="16"/>
        <v>0</v>
      </c>
      <c r="AH14" s="3">
        <f t="shared" si="17"/>
        <v>0</v>
      </c>
      <c r="AI14" s="12">
        <f t="shared" si="27"/>
        <v>552.89</v>
      </c>
      <c r="AJ14" s="12">
        <f t="shared" si="18"/>
        <v>0</v>
      </c>
      <c r="AK14" s="3">
        <f t="shared" si="19"/>
        <v>0</v>
      </c>
      <c r="AL14" s="12">
        <f t="shared" si="20"/>
        <v>552.89</v>
      </c>
      <c r="AM14" s="12">
        <f t="shared" si="8"/>
        <v>0</v>
      </c>
      <c r="AN14" s="3">
        <f t="shared" si="21"/>
        <v>0</v>
      </c>
      <c r="AO14" s="12">
        <f t="shared" si="22"/>
        <v>552.89</v>
      </c>
      <c r="AP14" s="12">
        <f t="shared" si="23"/>
        <v>0</v>
      </c>
      <c r="AQ14" s="3">
        <f t="shared" si="24"/>
        <v>0</v>
      </c>
      <c r="AR14" s="12">
        <f t="shared" si="25"/>
        <v>552.89</v>
      </c>
      <c r="AS14" s="12">
        <f t="shared" si="26"/>
        <v>0</v>
      </c>
      <c r="AT14" s="148" t="s">
        <v>342</v>
      </c>
    </row>
    <row r="15" spans="1:54" x14ac:dyDescent="0.25">
      <c r="A15" s="67" t="s">
        <v>14</v>
      </c>
      <c r="B15" s="67" t="s">
        <v>167</v>
      </c>
      <c r="C15" s="155" t="s">
        <v>72</v>
      </c>
      <c r="D15" s="138">
        <v>41258</v>
      </c>
      <c r="E15" s="133">
        <v>589</v>
      </c>
      <c r="F15" s="71">
        <v>0.25</v>
      </c>
      <c r="G15" s="70">
        <v>1</v>
      </c>
      <c r="H15" s="67" t="s">
        <v>21</v>
      </c>
      <c r="I15" s="67" t="s">
        <v>16</v>
      </c>
      <c r="J15" s="67" t="s">
        <v>17</v>
      </c>
      <c r="K15" s="67" t="s">
        <v>18</v>
      </c>
      <c r="L15" s="68">
        <v>41258</v>
      </c>
      <c r="M15" s="67" t="s">
        <v>73</v>
      </c>
      <c r="N15" s="67" t="s">
        <v>19</v>
      </c>
      <c r="O15" s="67" t="s">
        <v>43</v>
      </c>
      <c r="P15" s="86">
        <v>135.19999999999999</v>
      </c>
      <c r="Q15" s="72">
        <v>589</v>
      </c>
      <c r="R15" s="12">
        <f t="shared" si="0"/>
        <v>0</v>
      </c>
      <c r="S15" s="12">
        <v>0</v>
      </c>
      <c r="T15" s="12">
        <f t="shared" si="1"/>
        <v>589</v>
      </c>
      <c r="U15" s="12">
        <f t="shared" si="2"/>
        <v>0</v>
      </c>
      <c r="V15" s="12"/>
      <c r="W15" s="72">
        <f t="shared" si="3"/>
        <v>589</v>
      </c>
      <c r="X15" s="12">
        <f t="shared" si="4"/>
        <v>0</v>
      </c>
      <c r="Y15" s="3">
        <f t="shared" si="5"/>
        <v>0</v>
      </c>
      <c r="Z15" s="12">
        <f t="shared" si="9"/>
        <v>589</v>
      </c>
      <c r="AA15" s="12">
        <f t="shared" si="10"/>
        <v>0</v>
      </c>
      <c r="AB15" s="3">
        <f t="shared" si="11"/>
        <v>0</v>
      </c>
      <c r="AC15" s="12">
        <f t="shared" si="12"/>
        <v>589</v>
      </c>
      <c r="AD15" s="12">
        <f t="shared" si="13"/>
        <v>0</v>
      </c>
      <c r="AE15" s="3">
        <f t="shared" si="14"/>
        <v>0</v>
      </c>
      <c r="AF15" s="12">
        <f t="shared" si="15"/>
        <v>589</v>
      </c>
      <c r="AG15" s="12">
        <f t="shared" si="16"/>
        <v>0</v>
      </c>
      <c r="AH15" s="3">
        <f t="shared" si="17"/>
        <v>0</v>
      </c>
      <c r="AI15" s="12">
        <f t="shared" si="27"/>
        <v>589</v>
      </c>
      <c r="AJ15" s="12">
        <f t="shared" si="18"/>
        <v>0</v>
      </c>
      <c r="AK15" s="3">
        <f t="shared" si="19"/>
        <v>0</v>
      </c>
      <c r="AL15" s="12">
        <f t="shared" si="20"/>
        <v>589</v>
      </c>
      <c r="AM15" s="12">
        <f t="shared" si="8"/>
        <v>0</v>
      </c>
      <c r="AN15" s="3">
        <f t="shared" si="21"/>
        <v>0</v>
      </c>
      <c r="AO15" s="12">
        <f t="shared" si="22"/>
        <v>589</v>
      </c>
      <c r="AP15" s="12">
        <f t="shared" si="23"/>
        <v>0</v>
      </c>
      <c r="AQ15" s="3">
        <f t="shared" si="24"/>
        <v>0</v>
      </c>
      <c r="AR15" s="12">
        <f t="shared" si="25"/>
        <v>589</v>
      </c>
      <c r="AS15" s="12">
        <f t="shared" si="26"/>
        <v>0</v>
      </c>
      <c r="AT15" s="148" t="s">
        <v>342</v>
      </c>
      <c r="AW15" s="18" t="s">
        <v>111</v>
      </c>
      <c r="AX15" t="s">
        <v>118</v>
      </c>
      <c r="AY15" t="s">
        <v>120</v>
      </c>
      <c r="AZ15" t="s">
        <v>121</v>
      </c>
      <c r="BA15" t="s">
        <v>122</v>
      </c>
      <c r="BB15" t="s">
        <v>123</v>
      </c>
    </row>
    <row r="16" spans="1:54" x14ac:dyDescent="0.25">
      <c r="A16" s="67" t="s">
        <v>14</v>
      </c>
      <c r="B16" s="67" t="s">
        <v>168</v>
      </c>
      <c r="C16" s="155" t="s">
        <v>74</v>
      </c>
      <c r="D16" s="138">
        <v>41275</v>
      </c>
      <c r="E16" s="133">
        <v>1139.67</v>
      </c>
      <c r="F16" s="71">
        <v>0.25</v>
      </c>
      <c r="G16" s="70">
        <v>1</v>
      </c>
      <c r="H16" s="67" t="s">
        <v>21</v>
      </c>
      <c r="I16" s="67" t="s">
        <v>16</v>
      </c>
      <c r="J16" s="67" t="s">
        <v>17</v>
      </c>
      <c r="K16" s="67" t="s">
        <v>18</v>
      </c>
      <c r="L16" s="68">
        <v>41275</v>
      </c>
      <c r="M16" s="67" t="s">
        <v>75</v>
      </c>
      <c r="N16" s="67" t="s">
        <v>19</v>
      </c>
      <c r="O16" s="67" t="s">
        <v>43</v>
      </c>
      <c r="P16" s="86">
        <v>276.73250000000007</v>
      </c>
      <c r="Q16" s="72">
        <v>1139.67</v>
      </c>
      <c r="R16" s="12">
        <f t="shared" si="0"/>
        <v>0</v>
      </c>
      <c r="S16" s="12">
        <v>0</v>
      </c>
      <c r="T16" s="12">
        <f t="shared" si="1"/>
        <v>1139.67</v>
      </c>
      <c r="U16" s="12">
        <f t="shared" si="2"/>
        <v>0</v>
      </c>
      <c r="V16" s="12"/>
      <c r="W16" s="72">
        <f t="shared" si="3"/>
        <v>1139.67</v>
      </c>
      <c r="X16" s="12">
        <f t="shared" si="4"/>
        <v>0</v>
      </c>
      <c r="Y16" s="3">
        <f t="shared" si="5"/>
        <v>0</v>
      </c>
      <c r="Z16" s="12">
        <f t="shared" si="9"/>
        <v>1139.67</v>
      </c>
      <c r="AA16" s="12">
        <f t="shared" si="10"/>
        <v>0</v>
      </c>
      <c r="AB16" s="3">
        <f t="shared" si="11"/>
        <v>0</v>
      </c>
      <c r="AC16" s="12">
        <f t="shared" si="12"/>
        <v>1139.67</v>
      </c>
      <c r="AD16" s="12">
        <f t="shared" si="13"/>
        <v>0</v>
      </c>
      <c r="AE16" s="3">
        <f t="shared" si="14"/>
        <v>0</v>
      </c>
      <c r="AF16" s="12">
        <f t="shared" si="15"/>
        <v>1139.67</v>
      </c>
      <c r="AG16" s="12">
        <f t="shared" si="16"/>
        <v>0</v>
      </c>
      <c r="AH16" s="3">
        <f t="shared" si="17"/>
        <v>0</v>
      </c>
      <c r="AI16" s="12">
        <f t="shared" si="27"/>
        <v>1139.67</v>
      </c>
      <c r="AJ16" s="12">
        <f t="shared" si="18"/>
        <v>0</v>
      </c>
      <c r="AK16" s="3">
        <f t="shared" si="19"/>
        <v>0</v>
      </c>
      <c r="AL16" s="12">
        <f t="shared" si="20"/>
        <v>1139.67</v>
      </c>
      <c r="AM16" s="12">
        <f t="shared" si="8"/>
        <v>0</v>
      </c>
      <c r="AN16" s="3">
        <f t="shared" si="21"/>
        <v>0</v>
      </c>
      <c r="AO16" s="12">
        <f t="shared" si="22"/>
        <v>1139.67</v>
      </c>
      <c r="AP16" s="12">
        <f t="shared" si="23"/>
        <v>0</v>
      </c>
      <c r="AQ16" s="3">
        <f t="shared" si="24"/>
        <v>0</v>
      </c>
      <c r="AR16" s="12">
        <f t="shared" si="25"/>
        <v>1139.67</v>
      </c>
      <c r="AS16" s="12">
        <f t="shared" si="26"/>
        <v>0</v>
      </c>
      <c r="AT16" s="148" t="s">
        <v>342</v>
      </c>
      <c r="AW16" t="s">
        <v>119</v>
      </c>
      <c r="AX16" s="3">
        <v>25665.77</v>
      </c>
      <c r="AY16" s="3">
        <v>4781.9786041666666</v>
      </c>
      <c r="AZ16" s="3">
        <v>15791.69</v>
      </c>
      <c r="BA16" s="3">
        <v>1243.23</v>
      </c>
      <c r="BB16" s="3">
        <v>13412.828604166667</v>
      </c>
    </row>
    <row r="17" spans="1:54" ht="15.75" thickBot="1" x14ac:dyDescent="0.3">
      <c r="A17" s="1" t="s">
        <v>14</v>
      </c>
      <c r="B17" s="1" t="s">
        <v>169</v>
      </c>
      <c r="C17" s="58" t="s">
        <v>76</v>
      </c>
      <c r="D17" s="137">
        <v>41407</v>
      </c>
      <c r="E17" s="59">
        <v>1117</v>
      </c>
      <c r="F17" s="7">
        <v>0.25</v>
      </c>
      <c r="G17" s="2">
        <v>1</v>
      </c>
      <c r="H17" s="1" t="s">
        <v>21</v>
      </c>
      <c r="I17" s="1" t="s">
        <v>16</v>
      </c>
      <c r="J17" s="1" t="s">
        <v>17</v>
      </c>
      <c r="K17" s="1" t="s">
        <v>18</v>
      </c>
      <c r="L17" s="4">
        <v>41407</v>
      </c>
      <c r="M17" s="1" t="s">
        <v>77</v>
      </c>
      <c r="N17" s="1" t="s">
        <v>19</v>
      </c>
      <c r="O17" s="1" t="s">
        <v>43</v>
      </c>
      <c r="P17">
        <f t="shared" ref="P17:P41" si="28">E17*F17</f>
        <v>279.25</v>
      </c>
      <c r="Q17" s="50">
        <v>1022.0899999999999</v>
      </c>
      <c r="R17" s="3">
        <f t="shared" si="0"/>
        <v>94.910000000000082</v>
      </c>
      <c r="S17" s="3">
        <f t="shared" ref="S17:S22" si="29">R17</f>
        <v>94.910000000000082</v>
      </c>
      <c r="T17" s="73">
        <f t="shared" si="1"/>
        <v>1117</v>
      </c>
      <c r="U17" s="73">
        <f t="shared" si="2"/>
        <v>0</v>
      </c>
      <c r="V17" s="73"/>
      <c r="W17" s="72">
        <f t="shared" si="3"/>
        <v>1117</v>
      </c>
      <c r="X17" s="12">
        <f t="shared" si="4"/>
        <v>0</v>
      </c>
      <c r="Y17" s="3">
        <f t="shared" si="5"/>
        <v>0</v>
      </c>
      <c r="Z17" s="12">
        <f t="shared" si="9"/>
        <v>1117</v>
      </c>
      <c r="AA17" s="12">
        <f t="shared" si="10"/>
        <v>0</v>
      </c>
      <c r="AB17" s="3">
        <f t="shared" si="11"/>
        <v>0</v>
      </c>
      <c r="AC17" s="12">
        <f t="shared" si="12"/>
        <v>1117</v>
      </c>
      <c r="AD17" s="12">
        <f t="shared" si="13"/>
        <v>0</v>
      </c>
      <c r="AE17" s="3">
        <f t="shared" si="14"/>
        <v>0</v>
      </c>
      <c r="AF17" s="12">
        <f t="shared" si="15"/>
        <v>1117</v>
      </c>
      <c r="AG17" s="12">
        <f t="shared" si="16"/>
        <v>0</v>
      </c>
      <c r="AH17" s="3">
        <f t="shared" si="17"/>
        <v>0</v>
      </c>
      <c r="AI17" s="12">
        <f t="shared" si="27"/>
        <v>1117</v>
      </c>
      <c r="AJ17" s="12">
        <f t="shared" si="18"/>
        <v>0</v>
      </c>
      <c r="AK17" s="3">
        <f t="shared" si="19"/>
        <v>0</v>
      </c>
      <c r="AL17" s="12">
        <f t="shared" si="20"/>
        <v>1117</v>
      </c>
      <c r="AM17" s="12">
        <f t="shared" si="8"/>
        <v>0</v>
      </c>
      <c r="AN17" s="3">
        <f t="shared" si="21"/>
        <v>0</v>
      </c>
      <c r="AO17" s="12">
        <f t="shared" si="22"/>
        <v>1117</v>
      </c>
      <c r="AP17" s="12">
        <f t="shared" si="23"/>
        <v>0</v>
      </c>
      <c r="AQ17" s="3">
        <f t="shared" si="24"/>
        <v>0</v>
      </c>
      <c r="AR17" s="12">
        <f t="shared" si="25"/>
        <v>1117</v>
      </c>
      <c r="AS17" s="12">
        <f t="shared" si="26"/>
        <v>0</v>
      </c>
      <c r="AT17" s="148" t="s">
        <v>342</v>
      </c>
      <c r="AW17" t="s">
        <v>108</v>
      </c>
      <c r="AX17" s="8">
        <v>25665.77</v>
      </c>
      <c r="AY17" s="17"/>
      <c r="AZ17" s="8"/>
      <c r="BA17" s="8"/>
      <c r="BB17" s="8"/>
    </row>
    <row r="18" spans="1:54" x14ac:dyDescent="0.25">
      <c r="A18" s="1" t="s">
        <v>14</v>
      </c>
      <c r="B18" s="1" t="s">
        <v>170</v>
      </c>
      <c r="C18" s="58" t="s">
        <v>78</v>
      </c>
      <c r="D18" s="137">
        <v>41432</v>
      </c>
      <c r="E18" s="59">
        <v>136.9</v>
      </c>
      <c r="F18" s="7">
        <v>0.25</v>
      </c>
      <c r="G18" s="2">
        <v>1</v>
      </c>
      <c r="H18" s="1" t="s">
        <v>21</v>
      </c>
      <c r="I18" s="1" t="s">
        <v>16</v>
      </c>
      <c r="J18" s="1" t="s">
        <v>17</v>
      </c>
      <c r="K18" s="1" t="s">
        <v>18</v>
      </c>
      <c r="L18" s="4">
        <v>41432</v>
      </c>
      <c r="M18" s="1" t="s">
        <v>79</v>
      </c>
      <c r="N18" s="1" t="s">
        <v>19</v>
      </c>
      <c r="O18" s="1" t="s">
        <v>43</v>
      </c>
      <c r="P18">
        <f t="shared" si="28"/>
        <v>34.225000000000001</v>
      </c>
      <c r="Q18" s="50">
        <v>122.82</v>
      </c>
      <c r="R18" s="3">
        <f t="shared" si="0"/>
        <v>14.080000000000013</v>
      </c>
      <c r="S18" s="3">
        <f t="shared" si="29"/>
        <v>14.080000000000013</v>
      </c>
      <c r="T18" s="73">
        <f t="shared" si="1"/>
        <v>136.9</v>
      </c>
      <c r="U18" s="73">
        <f t="shared" si="2"/>
        <v>0</v>
      </c>
      <c r="V18" s="73"/>
      <c r="W18" s="72">
        <f t="shared" si="3"/>
        <v>136.9</v>
      </c>
      <c r="X18" s="12">
        <f t="shared" si="4"/>
        <v>0</v>
      </c>
      <c r="Y18" s="3">
        <f t="shared" si="5"/>
        <v>0</v>
      </c>
      <c r="Z18" s="12">
        <f t="shared" si="9"/>
        <v>136.9</v>
      </c>
      <c r="AA18" s="12">
        <f t="shared" si="10"/>
        <v>0</v>
      </c>
      <c r="AB18" s="3">
        <f t="shared" si="11"/>
        <v>0</v>
      </c>
      <c r="AC18" s="12">
        <f t="shared" si="12"/>
        <v>136.9</v>
      </c>
      <c r="AD18" s="12">
        <f t="shared" si="13"/>
        <v>0</v>
      </c>
      <c r="AE18" s="3">
        <f t="shared" si="14"/>
        <v>0</v>
      </c>
      <c r="AF18" s="12">
        <f t="shared" si="15"/>
        <v>136.9</v>
      </c>
      <c r="AG18" s="12">
        <f t="shared" si="16"/>
        <v>0</v>
      </c>
      <c r="AH18" s="3">
        <f t="shared" si="17"/>
        <v>0</v>
      </c>
      <c r="AI18" s="12">
        <f t="shared" si="27"/>
        <v>136.9</v>
      </c>
      <c r="AJ18" s="12">
        <f t="shared" si="18"/>
        <v>0</v>
      </c>
      <c r="AK18" s="3">
        <f t="shared" si="19"/>
        <v>0</v>
      </c>
      <c r="AL18" s="12">
        <f t="shared" si="20"/>
        <v>136.9</v>
      </c>
      <c r="AM18" s="12">
        <f t="shared" si="8"/>
        <v>0</v>
      </c>
      <c r="AN18" s="3">
        <f t="shared" si="21"/>
        <v>0</v>
      </c>
      <c r="AO18" s="12">
        <f t="shared" si="22"/>
        <v>136.9</v>
      </c>
      <c r="AP18" s="12">
        <f t="shared" si="23"/>
        <v>0</v>
      </c>
      <c r="AQ18" s="3">
        <f t="shared" si="24"/>
        <v>0</v>
      </c>
      <c r="AR18" s="12">
        <f t="shared" si="25"/>
        <v>136.9</v>
      </c>
      <c r="AS18" s="12">
        <f t="shared" si="26"/>
        <v>0</v>
      </c>
      <c r="AT18" s="147" t="s">
        <v>351</v>
      </c>
      <c r="AW18" t="s">
        <v>110</v>
      </c>
      <c r="AX18" s="12">
        <v>0</v>
      </c>
      <c r="AY18" s="3">
        <v>4781.9786041666666</v>
      </c>
      <c r="AZ18" s="3">
        <v>15791.69</v>
      </c>
      <c r="BA18" s="3">
        <v>1243.23</v>
      </c>
      <c r="BB18" s="12">
        <v>-13412.828604166667</v>
      </c>
    </row>
    <row r="19" spans="1:54" x14ac:dyDescent="0.25">
      <c r="A19" s="1" t="s">
        <v>14</v>
      </c>
      <c r="B19" s="1" t="s">
        <v>171</v>
      </c>
      <c r="C19" s="58" t="s">
        <v>80</v>
      </c>
      <c r="D19" s="137">
        <v>41432</v>
      </c>
      <c r="E19" s="59">
        <v>149</v>
      </c>
      <c r="F19" s="7">
        <v>0.25</v>
      </c>
      <c r="G19" s="2">
        <v>1</v>
      </c>
      <c r="H19" s="1" t="s">
        <v>21</v>
      </c>
      <c r="I19" s="1" t="s">
        <v>16</v>
      </c>
      <c r="J19" s="1" t="s">
        <v>17</v>
      </c>
      <c r="K19" s="1" t="s">
        <v>18</v>
      </c>
      <c r="L19" s="4">
        <v>41432</v>
      </c>
      <c r="M19" s="1" t="s">
        <v>81</v>
      </c>
      <c r="N19" s="1" t="s">
        <v>19</v>
      </c>
      <c r="O19" s="1" t="s">
        <v>43</v>
      </c>
      <c r="P19">
        <f t="shared" si="28"/>
        <v>37.25</v>
      </c>
      <c r="Q19" s="50">
        <v>133.66</v>
      </c>
      <c r="R19" s="3">
        <f t="shared" si="0"/>
        <v>15.340000000000003</v>
      </c>
      <c r="S19" s="3">
        <f t="shared" si="29"/>
        <v>15.340000000000003</v>
      </c>
      <c r="T19" s="73">
        <f t="shared" si="1"/>
        <v>149</v>
      </c>
      <c r="U19" s="73">
        <f t="shared" si="2"/>
        <v>0</v>
      </c>
      <c r="V19" s="73"/>
      <c r="W19" s="72">
        <f t="shared" si="3"/>
        <v>149</v>
      </c>
      <c r="X19" s="12">
        <f t="shared" si="4"/>
        <v>0</v>
      </c>
      <c r="Y19" s="3">
        <f t="shared" si="5"/>
        <v>0</v>
      </c>
      <c r="Z19" s="12">
        <f t="shared" si="9"/>
        <v>149</v>
      </c>
      <c r="AA19" s="12">
        <f t="shared" si="10"/>
        <v>0</v>
      </c>
      <c r="AB19" s="3">
        <f t="shared" si="11"/>
        <v>0</v>
      </c>
      <c r="AC19" s="12">
        <f t="shared" si="12"/>
        <v>149</v>
      </c>
      <c r="AD19" s="12">
        <f t="shared" si="13"/>
        <v>0</v>
      </c>
      <c r="AE19" s="3">
        <f t="shared" si="14"/>
        <v>0</v>
      </c>
      <c r="AF19" s="12">
        <f t="shared" si="15"/>
        <v>149</v>
      </c>
      <c r="AG19" s="12">
        <f t="shared" si="16"/>
        <v>0</v>
      </c>
      <c r="AH19" s="3">
        <f t="shared" si="17"/>
        <v>0</v>
      </c>
      <c r="AI19" s="12">
        <f t="shared" si="27"/>
        <v>149</v>
      </c>
      <c r="AJ19" s="12">
        <f t="shared" si="18"/>
        <v>0</v>
      </c>
      <c r="AK19" s="3">
        <f t="shared" si="19"/>
        <v>0</v>
      </c>
      <c r="AL19" s="12">
        <f t="shared" si="20"/>
        <v>149</v>
      </c>
      <c r="AM19" s="12">
        <f t="shared" si="8"/>
        <v>0</v>
      </c>
      <c r="AN19" s="3">
        <f t="shared" si="21"/>
        <v>0</v>
      </c>
      <c r="AO19" s="12">
        <f t="shared" si="22"/>
        <v>149</v>
      </c>
      <c r="AP19" s="12">
        <f t="shared" si="23"/>
        <v>0</v>
      </c>
      <c r="AQ19" s="3">
        <f t="shared" si="24"/>
        <v>0</v>
      </c>
      <c r="AR19" s="12">
        <f t="shared" si="25"/>
        <v>149</v>
      </c>
      <c r="AS19" s="12">
        <f t="shared" si="26"/>
        <v>0</v>
      </c>
      <c r="AT19" s="148" t="s">
        <v>342</v>
      </c>
    </row>
    <row r="20" spans="1:54" x14ac:dyDescent="0.25">
      <c r="A20" s="1" t="s">
        <v>14</v>
      </c>
      <c r="B20" s="1" t="s">
        <v>172</v>
      </c>
      <c r="C20" s="58" t="s">
        <v>82</v>
      </c>
      <c r="D20" s="137">
        <v>41521</v>
      </c>
      <c r="E20" s="59">
        <v>53.72</v>
      </c>
      <c r="F20" s="7">
        <v>0.25</v>
      </c>
      <c r="G20" s="2">
        <v>1</v>
      </c>
      <c r="H20" s="1" t="s">
        <v>21</v>
      </c>
      <c r="I20" s="1" t="s">
        <v>16</v>
      </c>
      <c r="J20" s="1" t="s">
        <v>17</v>
      </c>
      <c r="K20" s="1" t="s">
        <v>18</v>
      </c>
      <c r="L20" s="4">
        <v>41521</v>
      </c>
      <c r="M20" s="1" t="s">
        <v>83</v>
      </c>
      <c r="N20" s="1" t="s">
        <v>19</v>
      </c>
      <c r="O20" s="1" t="s">
        <v>43</v>
      </c>
      <c r="P20">
        <f t="shared" si="28"/>
        <v>13.43</v>
      </c>
      <c r="Q20" s="50">
        <v>44.97</v>
      </c>
      <c r="R20" s="3">
        <f t="shared" si="0"/>
        <v>8.75</v>
      </c>
      <c r="S20" s="3">
        <f t="shared" si="29"/>
        <v>8.75</v>
      </c>
      <c r="T20" s="73">
        <f t="shared" si="1"/>
        <v>53.72</v>
      </c>
      <c r="U20" s="73">
        <f t="shared" si="2"/>
        <v>0</v>
      </c>
      <c r="V20" s="73"/>
      <c r="W20" s="72">
        <f t="shared" si="3"/>
        <v>53.72</v>
      </c>
      <c r="X20" s="12">
        <f t="shared" si="4"/>
        <v>0</v>
      </c>
      <c r="Y20" s="3">
        <f t="shared" si="5"/>
        <v>0</v>
      </c>
      <c r="Z20" s="12">
        <f t="shared" si="9"/>
        <v>53.72</v>
      </c>
      <c r="AA20" s="12">
        <f t="shared" si="10"/>
        <v>0</v>
      </c>
      <c r="AB20" s="3">
        <f t="shared" si="11"/>
        <v>0</v>
      </c>
      <c r="AC20" s="12">
        <f t="shared" si="12"/>
        <v>53.72</v>
      </c>
      <c r="AD20" s="12">
        <f t="shared" si="13"/>
        <v>0</v>
      </c>
      <c r="AE20" s="3">
        <f t="shared" si="14"/>
        <v>0</v>
      </c>
      <c r="AF20" s="12">
        <f t="shared" si="15"/>
        <v>53.72</v>
      </c>
      <c r="AG20" s="12">
        <f t="shared" si="16"/>
        <v>0</v>
      </c>
      <c r="AH20" s="3">
        <f t="shared" si="17"/>
        <v>0</v>
      </c>
      <c r="AI20" s="12">
        <f t="shared" si="27"/>
        <v>53.72</v>
      </c>
      <c r="AJ20" s="12">
        <f t="shared" si="18"/>
        <v>0</v>
      </c>
      <c r="AK20" s="3">
        <f t="shared" si="19"/>
        <v>0</v>
      </c>
      <c r="AL20" s="12">
        <f t="shared" si="20"/>
        <v>53.72</v>
      </c>
      <c r="AM20" s="12">
        <f t="shared" si="8"/>
        <v>0</v>
      </c>
      <c r="AN20" s="3">
        <f t="shared" si="21"/>
        <v>0</v>
      </c>
      <c r="AO20" s="12">
        <f t="shared" si="22"/>
        <v>53.72</v>
      </c>
      <c r="AP20" s="12">
        <f t="shared" si="23"/>
        <v>0</v>
      </c>
      <c r="AQ20" s="3">
        <f t="shared" si="24"/>
        <v>0</v>
      </c>
      <c r="AR20" s="12">
        <f t="shared" si="25"/>
        <v>53.72</v>
      </c>
      <c r="AS20" s="12">
        <f t="shared" si="26"/>
        <v>0</v>
      </c>
      <c r="AT20" s="148" t="s">
        <v>342</v>
      </c>
    </row>
    <row r="21" spans="1:54" x14ac:dyDescent="0.25">
      <c r="A21" s="1" t="s">
        <v>14</v>
      </c>
      <c r="B21" s="1" t="s">
        <v>173</v>
      </c>
      <c r="C21" s="58" t="s">
        <v>86</v>
      </c>
      <c r="D21" s="137">
        <v>41640</v>
      </c>
      <c r="E21" s="59">
        <v>334</v>
      </c>
      <c r="F21" s="7">
        <v>0.25</v>
      </c>
      <c r="G21" s="2">
        <v>1</v>
      </c>
      <c r="H21" s="1" t="s">
        <v>21</v>
      </c>
      <c r="I21" s="1" t="s">
        <v>16</v>
      </c>
      <c r="J21" s="1" t="s">
        <v>17</v>
      </c>
      <c r="K21" s="1" t="s">
        <v>18</v>
      </c>
      <c r="L21" s="4">
        <v>41640</v>
      </c>
      <c r="M21" s="1" t="s">
        <v>87</v>
      </c>
      <c r="N21" s="1" t="s">
        <v>19</v>
      </c>
      <c r="O21" s="1" t="s">
        <v>43</v>
      </c>
      <c r="P21">
        <f t="shared" si="28"/>
        <v>83.5</v>
      </c>
      <c r="Q21" s="50">
        <v>252.03</v>
      </c>
      <c r="R21" s="3">
        <f t="shared" si="0"/>
        <v>81.97</v>
      </c>
      <c r="S21" s="3">
        <f t="shared" si="29"/>
        <v>81.97</v>
      </c>
      <c r="T21" s="73">
        <f t="shared" si="1"/>
        <v>334</v>
      </c>
      <c r="U21" s="73">
        <f t="shared" si="2"/>
        <v>0</v>
      </c>
      <c r="V21" s="73"/>
      <c r="W21" s="72">
        <f t="shared" si="3"/>
        <v>334</v>
      </c>
      <c r="X21" s="12">
        <f t="shared" si="4"/>
        <v>0</v>
      </c>
      <c r="Y21" s="3">
        <f t="shared" si="5"/>
        <v>0</v>
      </c>
      <c r="Z21" s="12">
        <f t="shared" si="9"/>
        <v>334</v>
      </c>
      <c r="AA21" s="12">
        <f t="shared" si="10"/>
        <v>0</v>
      </c>
      <c r="AB21" s="3">
        <f t="shared" si="11"/>
        <v>0</v>
      </c>
      <c r="AC21" s="12">
        <f t="shared" si="12"/>
        <v>334</v>
      </c>
      <c r="AD21" s="12">
        <f t="shared" si="13"/>
        <v>0</v>
      </c>
      <c r="AE21" s="3">
        <f t="shared" si="14"/>
        <v>0</v>
      </c>
      <c r="AF21" s="12">
        <f t="shared" si="15"/>
        <v>334</v>
      </c>
      <c r="AG21" s="12">
        <f t="shared" si="16"/>
        <v>0</v>
      </c>
      <c r="AH21" s="3">
        <f t="shared" si="17"/>
        <v>0</v>
      </c>
      <c r="AI21" s="12">
        <f t="shared" si="27"/>
        <v>334</v>
      </c>
      <c r="AJ21" s="12">
        <f t="shared" si="18"/>
        <v>0</v>
      </c>
      <c r="AK21" s="3">
        <f t="shared" si="19"/>
        <v>0</v>
      </c>
      <c r="AL21" s="12">
        <f t="shared" si="20"/>
        <v>334</v>
      </c>
      <c r="AM21" s="12">
        <f t="shared" si="8"/>
        <v>0</v>
      </c>
      <c r="AN21" s="3">
        <f t="shared" si="21"/>
        <v>0</v>
      </c>
      <c r="AO21" s="12">
        <f t="shared" si="22"/>
        <v>334</v>
      </c>
      <c r="AP21" s="12">
        <f t="shared" si="23"/>
        <v>0</v>
      </c>
      <c r="AQ21" s="3">
        <f t="shared" si="24"/>
        <v>0</v>
      </c>
      <c r="AR21" s="12">
        <f t="shared" si="25"/>
        <v>334</v>
      </c>
      <c r="AS21" s="12">
        <f t="shared" si="26"/>
        <v>0</v>
      </c>
      <c r="AT21" s="148" t="s">
        <v>342</v>
      </c>
    </row>
    <row r="22" spans="1:54" x14ac:dyDescent="0.25">
      <c r="A22" s="1" t="s">
        <v>14</v>
      </c>
      <c r="B22" s="1" t="s">
        <v>174</v>
      </c>
      <c r="C22" s="58" t="s">
        <v>88</v>
      </c>
      <c r="D22" s="137">
        <v>41640</v>
      </c>
      <c r="E22" s="59">
        <v>1097.52</v>
      </c>
      <c r="F22" s="7">
        <v>0.25</v>
      </c>
      <c r="G22" s="2">
        <v>1</v>
      </c>
      <c r="H22" s="1" t="s">
        <v>21</v>
      </c>
      <c r="I22" s="1" t="s">
        <v>16</v>
      </c>
      <c r="J22" s="1" t="s">
        <v>17</v>
      </c>
      <c r="K22" s="1" t="s">
        <v>18</v>
      </c>
      <c r="L22" s="4">
        <v>41640</v>
      </c>
      <c r="M22" s="1" t="s">
        <v>89</v>
      </c>
      <c r="N22" s="1" t="s">
        <v>19</v>
      </c>
      <c r="O22" s="1" t="s">
        <v>43</v>
      </c>
      <c r="P22">
        <f t="shared" si="28"/>
        <v>274.38</v>
      </c>
      <c r="Q22" s="50">
        <v>828.14</v>
      </c>
      <c r="R22" s="3">
        <f t="shared" si="0"/>
        <v>269.38</v>
      </c>
      <c r="S22" s="3">
        <f t="shared" si="29"/>
        <v>269.38</v>
      </c>
      <c r="T22" s="73">
        <f t="shared" si="1"/>
        <v>1097.52</v>
      </c>
      <c r="U22" s="73">
        <f t="shared" si="2"/>
        <v>0</v>
      </c>
      <c r="V22" s="73"/>
      <c r="W22" s="72">
        <f t="shared" si="3"/>
        <v>1097.52</v>
      </c>
      <c r="X22" s="12">
        <f t="shared" si="4"/>
        <v>0</v>
      </c>
      <c r="Y22" s="3">
        <f t="shared" si="5"/>
        <v>0</v>
      </c>
      <c r="Z22" s="12">
        <f t="shared" si="9"/>
        <v>1097.52</v>
      </c>
      <c r="AA22" s="12">
        <f t="shared" si="10"/>
        <v>0</v>
      </c>
      <c r="AB22" s="3">
        <f t="shared" si="11"/>
        <v>0</v>
      </c>
      <c r="AC22" s="12">
        <f t="shared" si="12"/>
        <v>1097.52</v>
      </c>
      <c r="AD22" s="12">
        <f t="shared" si="13"/>
        <v>0</v>
      </c>
      <c r="AE22" s="3">
        <f t="shared" si="14"/>
        <v>0</v>
      </c>
      <c r="AF22" s="12">
        <f t="shared" si="15"/>
        <v>1097.52</v>
      </c>
      <c r="AG22" s="12">
        <f t="shared" si="16"/>
        <v>0</v>
      </c>
      <c r="AH22" s="3">
        <f t="shared" si="17"/>
        <v>0</v>
      </c>
      <c r="AI22" s="12">
        <f t="shared" si="27"/>
        <v>1097.52</v>
      </c>
      <c r="AJ22" s="12">
        <f t="shared" si="18"/>
        <v>0</v>
      </c>
      <c r="AK22" s="3">
        <f t="shared" si="19"/>
        <v>0</v>
      </c>
      <c r="AL22" s="12">
        <f t="shared" si="20"/>
        <v>1097.52</v>
      </c>
      <c r="AM22" s="12">
        <f t="shared" si="8"/>
        <v>0</v>
      </c>
      <c r="AN22" s="3">
        <f t="shared" si="21"/>
        <v>0</v>
      </c>
      <c r="AO22" s="12">
        <f t="shared" si="22"/>
        <v>1097.52</v>
      </c>
      <c r="AP22" s="12">
        <f t="shared" si="23"/>
        <v>0</v>
      </c>
      <c r="AQ22" s="3">
        <f t="shared" si="24"/>
        <v>0</v>
      </c>
      <c r="AR22" s="12">
        <f t="shared" si="25"/>
        <v>1097.52</v>
      </c>
      <c r="AS22" s="12">
        <f t="shared" si="26"/>
        <v>0</v>
      </c>
      <c r="AT22" s="148" t="s">
        <v>342</v>
      </c>
    </row>
    <row r="23" spans="1:54" x14ac:dyDescent="0.25">
      <c r="A23" s="1" t="s">
        <v>14</v>
      </c>
      <c r="B23" s="1" t="s">
        <v>175</v>
      </c>
      <c r="C23" s="58" t="s">
        <v>90</v>
      </c>
      <c r="D23" s="137">
        <v>41647</v>
      </c>
      <c r="E23" s="59">
        <v>315.69</v>
      </c>
      <c r="F23" s="7">
        <v>0.25</v>
      </c>
      <c r="G23" s="2">
        <v>1</v>
      </c>
      <c r="H23" s="1" t="s">
        <v>21</v>
      </c>
      <c r="I23" s="1" t="s">
        <v>16</v>
      </c>
      <c r="J23" s="1" t="s">
        <v>17</v>
      </c>
      <c r="K23" s="1" t="s">
        <v>18</v>
      </c>
      <c r="L23" s="4">
        <v>41647</v>
      </c>
      <c r="M23" s="1" t="s">
        <v>91</v>
      </c>
      <c r="N23" s="1" t="s">
        <v>19</v>
      </c>
      <c r="O23" s="1" t="s">
        <v>43</v>
      </c>
      <c r="P23">
        <f t="shared" si="28"/>
        <v>78.922499999999999</v>
      </c>
      <c r="Q23" s="50">
        <v>236.72500000000002</v>
      </c>
      <c r="R23" s="3">
        <f t="shared" si="0"/>
        <v>78.964999999999975</v>
      </c>
      <c r="S23" s="3">
        <f t="shared" ref="S23:S45" si="30">E23*F23</f>
        <v>78.922499999999999</v>
      </c>
      <c r="T23" s="3">
        <f t="shared" si="1"/>
        <v>315.64750000000004</v>
      </c>
      <c r="U23" s="3">
        <f t="shared" si="2"/>
        <v>4.2499999999961346E-2</v>
      </c>
      <c r="V23" s="88">
        <f>U23</f>
        <v>4.2499999999961346E-2</v>
      </c>
      <c r="W23" s="50">
        <f t="shared" si="3"/>
        <v>315.69</v>
      </c>
      <c r="X23" s="3">
        <f t="shared" si="4"/>
        <v>0</v>
      </c>
      <c r="Y23" s="3">
        <f>ROUND(IF(((E23*F23)+W23)&gt;E23,X23,(E23*F23)),2)</f>
        <v>0</v>
      </c>
      <c r="Z23" s="12">
        <f t="shared" ref="Z23:Z24" si="31">W23+Y23</f>
        <v>315.69</v>
      </c>
      <c r="AA23" s="12">
        <f t="shared" si="10"/>
        <v>0</v>
      </c>
      <c r="AB23" s="3">
        <f t="shared" si="11"/>
        <v>0</v>
      </c>
      <c r="AC23" s="12">
        <f t="shared" si="12"/>
        <v>315.69</v>
      </c>
      <c r="AD23" s="12">
        <f t="shared" si="13"/>
        <v>0</v>
      </c>
      <c r="AE23" s="3">
        <f t="shared" si="14"/>
        <v>0</v>
      </c>
      <c r="AF23" s="12">
        <f t="shared" si="15"/>
        <v>315.69</v>
      </c>
      <c r="AG23" s="12">
        <f t="shared" si="16"/>
        <v>0</v>
      </c>
      <c r="AH23" s="3">
        <f t="shared" si="17"/>
        <v>0</v>
      </c>
      <c r="AI23" s="12">
        <f t="shared" si="27"/>
        <v>315.69</v>
      </c>
      <c r="AJ23" s="12">
        <f t="shared" si="18"/>
        <v>0</v>
      </c>
      <c r="AK23" s="3">
        <f t="shared" si="19"/>
        <v>0</v>
      </c>
      <c r="AL23" s="12">
        <f t="shared" si="20"/>
        <v>315.69</v>
      </c>
      <c r="AM23" s="12">
        <f t="shared" si="8"/>
        <v>0</v>
      </c>
      <c r="AN23" s="3">
        <f t="shared" si="21"/>
        <v>0</v>
      </c>
      <c r="AO23" s="12">
        <f t="shared" si="22"/>
        <v>315.69</v>
      </c>
      <c r="AP23" s="12">
        <f t="shared" si="23"/>
        <v>0</v>
      </c>
      <c r="AQ23" s="3">
        <f t="shared" si="24"/>
        <v>0</v>
      </c>
      <c r="AR23" s="12">
        <f t="shared" si="25"/>
        <v>315.69</v>
      </c>
      <c r="AS23" s="12">
        <f t="shared" si="26"/>
        <v>0</v>
      </c>
      <c r="AT23" s="148" t="s">
        <v>342</v>
      </c>
    </row>
    <row r="24" spans="1:54" x14ac:dyDescent="0.25">
      <c r="A24" s="1" t="s">
        <v>14</v>
      </c>
      <c r="B24" s="1" t="s">
        <v>176</v>
      </c>
      <c r="C24" s="58" t="s">
        <v>92</v>
      </c>
      <c r="D24" s="137">
        <v>41692</v>
      </c>
      <c r="E24" s="59">
        <v>1776.7</v>
      </c>
      <c r="F24" s="7">
        <v>0.25</v>
      </c>
      <c r="G24" s="2">
        <v>1</v>
      </c>
      <c r="H24" s="1" t="s">
        <v>21</v>
      </c>
      <c r="I24" s="1" t="s">
        <v>16</v>
      </c>
      <c r="J24" s="1" t="s">
        <v>17</v>
      </c>
      <c r="K24" s="1" t="s">
        <v>18</v>
      </c>
      <c r="L24" s="4">
        <v>41692</v>
      </c>
      <c r="M24" s="1" t="s">
        <v>93</v>
      </c>
      <c r="N24" s="1" t="s">
        <v>19</v>
      </c>
      <c r="O24" s="1" t="s">
        <v>43</v>
      </c>
      <c r="P24">
        <f t="shared" si="28"/>
        <v>444.17500000000001</v>
      </c>
      <c r="Q24" s="50">
        <v>1274.28</v>
      </c>
      <c r="R24" s="3">
        <f t="shared" si="0"/>
        <v>502.42000000000007</v>
      </c>
      <c r="S24" s="3">
        <f t="shared" si="30"/>
        <v>444.17500000000001</v>
      </c>
      <c r="T24" s="3">
        <f t="shared" si="1"/>
        <v>1718.4549999999999</v>
      </c>
      <c r="U24" s="3">
        <f t="shared" si="2"/>
        <v>58.245000000000118</v>
      </c>
      <c r="V24" s="88">
        <f>U24</f>
        <v>58.245000000000118</v>
      </c>
      <c r="W24" s="50">
        <f t="shared" ref="W24:W53" si="32">T24+V24</f>
        <v>1776.7</v>
      </c>
      <c r="X24" s="3">
        <f>E24-W24</f>
        <v>0</v>
      </c>
      <c r="Y24" s="3">
        <f t="shared" ref="Y24:Y57" si="33">ROUND(IF(((E24*F24)+W24)&gt;E24,X24,(E24*F24)),2)</f>
        <v>0</v>
      </c>
      <c r="Z24" s="12">
        <f t="shared" si="31"/>
        <v>1776.7</v>
      </c>
      <c r="AA24" s="12">
        <f t="shared" si="10"/>
        <v>0</v>
      </c>
      <c r="AB24" s="3">
        <f t="shared" si="11"/>
        <v>0</v>
      </c>
      <c r="AC24" s="12">
        <f t="shared" si="12"/>
        <v>1776.7</v>
      </c>
      <c r="AD24" s="12">
        <f t="shared" si="13"/>
        <v>0</v>
      </c>
      <c r="AE24" s="3">
        <f t="shared" si="14"/>
        <v>0</v>
      </c>
      <c r="AF24" s="12">
        <f t="shared" si="15"/>
        <v>1776.7</v>
      </c>
      <c r="AG24" s="12">
        <f t="shared" si="16"/>
        <v>0</v>
      </c>
      <c r="AH24" s="3">
        <f t="shared" si="17"/>
        <v>0</v>
      </c>
      <c r="AI24" s="12">
        <f t="shared" si="27"/>
        <v>1776.7</v>
      </c>
      <c r="AJ24" s="12">
        <f t="shared" si="18"/>
        <v>0</v>
      </c>
      <c r="AK24" s="3">
        <f t="shared" si="19"/>
        <v>0</v>
      </c>
      <c r="AL24" s="12">
        <f t="shared" si="20"/>
        <v>1776.7</v>
      </c>
      <c r="AM24" s="12">
        <f t="shared" si="8"/>
        <v>0</v>
      </c>
      <c r="AN24" s="3">
        <f t="shared" si="21"/>
        <v>0</v>
      </c>
      <c r="AO24" s="12">
        <f t="shared" si="22"/>
        <v>1776.7</v>
      </c>
      <c r="AP24" s="12">
        <f t="shared" si="23"/>
        <v>0</v>
      </c>
      <c r="AQ24" s="3">
        <f t="shared" si="24"/>
        <v>0</v>
      </c>
      <c r="AR24" s="12">
        <f t="shared" si="25"/>
        <v>1776.7</v>
      </c>
      <c r="AS24" s="12">
        <f t="shared" si="26"/>
        <v>0</v>
      </c>
      <c r="AT24" s="148" t="s">
        <v>342</v>
      </c>
    </row>
    <row r="25" spans="1:54" x14ac:dyDescent="0.25">
      <c r="A25" s="1" t="s">
        <v>14</v>
      </c>
      <c r="B25" s="1" t="s">
        <v>177</v>
      </c>
      <c r="C25" s="58" t="s">
        <v>94</v>
      </c>
      <c r="D25" s="137">
        <v>41713</v>
      </c>
      <c r="E25" s="59">
        <v>690</v>
      </c>
      <c r="F25" s="7">
        <v>0.25</v>
      </c>
      <c r="G25" s="2">
        <v>1</v>
      </c>
      <c r="H25" s="1" t="s">
        <v>21</v>
      </c>
      <c r="I25" s="1" t="s">
        <v>16</v>
      </c>
      <c r="J25" s="1" t="s">
        <v>17</v>
      </c>
      <c r="K25" s="1" t="s">
        <v>18</v>
      </c>
      <c r="L25" s="4">
        <v>41713</v>
      </c>
      <c r="M25" s="1" t="s">
        <v>95</v>
      </c>
      <c r="N25" s="1" t="s">
        <v>19</v>
      </c>
      <c r="O25" s="1" t="s">
        <v>43</v>
      </c>
      <c r="P25">
        <f t="shared" si="28"/>
        <v>172.5</v>
      </c>
      <c r="Q25" s="50">
        <v>483.86</v>
      </c>
      <c r="R25" s="3">
        <f t="shared" si="0"/>
        <v>206.14</v>
      </c>
      <c r="S25" s="3">
        <f t="shared" si="30"/>
        <v>172.5</v>
      </c>
      <c r="T25" s="3">
        <f t="shared" si="1"/>
        <v>656.36</v>
      </c>
      <c r="U25" s="3">
        <f t="shared" si="2"/>
        <v>33.639999999999986</v>
      </c>
      <c r="V25" s="88">
        <f t="shared" ref="V25:V29" si="34">U25</f>
        <v>33.639999999999986</v>
      </c>
      <c r="W25" s="50">
        <f t="shared" si="32"/>
        <v>690</v>
      </c>
      <c r="X25" s="3">
        <f t="shared" ref="X25:X53" si="35">E25-W25</f>
        <v>0</v>
      </c>
      <c r="Y25" s="3">
        <f t="shared" si="33"/>
        <v>0</v>
      </c>
      <c r="Z25" s="12">
        <f t="shared" ref="Z25:Z55" si="36">W25+Y25</f>
        <v>690</v>
      </c>
      <c r="AA25" s="12">
        <f t="shared" si="10"/>
        <v>0</v>
      </c>
      <c r="AB25" s="3">
        <f t="shared" si="11"/>
        <v>0</v>
      </c>
      <c r="AC25" s="12">
        <f t="shared" si="12"/>
        <v>690</v>
      </c>
      <c r="AD25" s="12">
        <f t="shared" si="13"/>
        <v>0</v>
      </c>
      <c r="AE25" s="3">
        <f t="shared" si="14"/>
        <v>0</v>
      </c>
      <c r="AF25" s="12">
        <f t="shared" si="15"/>
        <v>690</v>
      </c>
      <c r="AG25" s="12">
        <f t="shared" si="16"/>
        <v>0</v>
      </c>
      <c r="AH25" s="3">
        <f t="shared" si="17"/>
        <v>0</v>
      </c>
      <c r="AI25" s="12">
        <f t="shared" si="27"/>
        <v>690</v>
      </c>
      <c r="AJ25" s="12">
        <f t="shared" si="18"/>
        <v>0</v>
      </c>
      <c r="AK25" s="3">
        <f t="shared" si="19"/>
        <v>0</v>
      </c>
      <c r="AL25" s="12">
        <f t="shared" si="20"/>
        <v>690</v>
      </c>
      <c r="AM25" s="12">
        <f t="shared" si="8"/>
        <v>0</v>
      </c>
      <c r="AN25" s="3">
        <f t="shared" si="21"/>
        <v>0</v>
      </c>
      <c r="AO25" s="12">
        <f t="shared" si="22"/>
        <v>690</v>
      </c>
      <c r="AP25" s="12">
        <f t="shared" si="23"/>
        <v>0</v>
      </c>
      <c r="AQ25" s="3">
        <f t="shared" si="24"/>
        <v>0</v>
      </c>
      <c r="AR25" s="12">
        <f t="shared" si="25"/>
        <v>690</v>
      </c>
      <c r="AS25" s="12">
        <f t="shared" si="26"/>
        <v>0</v>
      </c>
      <c r="AT25" s="148" t="s">
        <v>342</v>
      </c>
    </row>
    <row r="26" spans="1:54" x14ac:dyDescent="0.25">
      <c r="A26" s="1" t="s">
        <v>14</v>
      </c>
      <c r="B26" s="1" t="s">
        <v>178</v>
      </c>
      <c r="C26" s="58" t="s">
        <v>96</v>
      </c>
      <c r="D26" s="137">
        <v>41733</v>
      </c>
      <c r="E26" s="59">
        <v>926</v>
      </c>
      <c r="F26" s="7">
        <v>0.25</v>
      </c>
      <c r="G26" s="2">
        <v>1</v>
      </c>
      <c r="H26" s="1" t="s">
        <v>21</v>
      </c>
      <c r="I26" s="1" t="s">
        <v>16</v>
      </c>
      <c r="J26" s="1" t="s">
        <v>17</v>
      </c>
      <c r="K26" s="1" t="s">
        <v>97</v>
      </c>
      <c r="L26" s="4">
        <v>41733</v>
      </c>
      <c r="N26" s="1" t="s">
        <v>19</v>
      </c>
      <c r="O26" s="1" t="s">
        <v>43</v>
      </c>
      <c r="P26">
        <f t="shared" si="28"/>
        <v>231.5</v>
      </c>
      <c r="Q26" s="50">
        <v>636.33000000000004</v>
      </c>
      <c r="R26" s="3">
        <f t="shared" si="0"/>
        <v>289.66999999999996</v>
      </c>
      <c r="S26" s="3">
        <f t="shared" si="30"/>
        <v>231.5</v>
      </c>
      <c r="T26" s="3">
        <f t="shared" si="1"/>
        <v>867.83</v>
      </c>
      <c r="U26" s="3">
        <f t="shared" si="2"/>
        <v>58.169999999999959</v>
      </c>
      <c r="V26" s="88">
        <f t="shared" si="34"/>
        <v>58.169999999999959</v>
      </c>
      <c r="W26" s="50">
        <f t="shared" si="32"/>
        <v>926</v>
      </c>
      <c r="X26" s="3">
        <f t="shared" si="35"/>
        <v>0</v>
      </c>
      <c r="Y26" s="3">
        <f t="shared" si="33"/>
        <v>0</v>
      </c>
      <c r="Z26" s="12">
        <f t="shared" si="36"/>
        <v>926</v>
      </c>
      <c r="AA26" s="12">
        <f t="shared" si="10"/>
        <v>0</v>
      </c>
      <c r="AB26" s="3">
        <f t="shared" si="11"/>
        <v>0</v>
      </c>
      <c r="AC26" s="12">
        <f t="shared" si="12"/>
        <v>926</v>
      </c>
      <c r="AD26" s="12">
        <f t="shared" si="13"/>
        <v>0</v>
      </c>
      <c r="AE26" s="3">
        <f t="shared" si="14"/>
        <v>0</v>
      </c>
      <c r="AF26" s="12">
        <f t="shared" si="15"/>
        <v>926</v>
      </c>
      <c r="AG26" s="12">
        <f t="shared" si="16"/>
        <v>0</v>
      </c>
      <c r="AH26" s="3">
        <f t="shared" si="17"/>
        <v>0</v>
      </c>
      <c r="AI26" s="12">
        <f t="shared" si="27"/>
        <v>926</v>
      </c>
      <c r="AJ26" s="12">
        <f t="shared" si="18"/>
        <v>0</v>
      </c>
      <c r="AK26" s="3">
        <f t="shared" si="19"/>
        <v>0</v>
      </c>
      <c r="AL26" s="12">
        <f t="shared" si="20"/>
        <v>926</v>
      </c>
      <c r="AM26" s="12">
        <f t="shared" si="8"/>
        <v>0</v>
      </c>
      <c r="AN26" s="3">
        <f t="shared" si="21"/>
        <v>0</v>
      </c>
      <c r="AO26" s="12">
        <f t="shared" si="22"/>
        <v>926</v>
      </c>
      <c r="AP26" s="12">
        <f t="shared" si="23"/>
        <v>0</v>
      </c>
      <c r="AQ26" s="3">
        <f t="shared" si="24"/>
        <v>0</v>
      </c>
      <c r="AR26" s="12">
        <f t="shared" si="25"/>
        <v>926</v>
      </c>
      <c r="AS26" s="12">
        <f t="shared" si="26"/>
        <v>0</v>
      </c>
      <c r="AT26" s="148" t="s">
        <v>342</v>
      </c>
    </row>
    <row r="27" spans="1:54" x14ac:dyDescent="0.25">
      <c r="A27" s="1" t="s">
        <v>14</v>
      </c>
      <c r="B27" s="1" t="s">
        <v>179</v>
      </c>
      <c r="C27" s="58" t="s">
        <v>98</v>
      </c>
      <c r="D27" s="137">
        <v>41824</v>
      </c>
      <c r="E27" s="59">
        <v>128.54</v>
      </c>
      <c r="F27" s="7">
        <v>0.25</v>
      </c>
      <c r="G27" s="2">
        <v>1</v>
      </c>
      <c r="H27" s="1" t="s">
        <v>21</v>
      </c>
      <c r="I27" s="1" t="s">
        <v>16</v>
      </c>
      <c r="J27" s="1" t="s">
        <v>17</v>
      </c>
      <c r="K27" s="1" t="s">
        <v>18</v>
      </c>
      <c r="L27" s="4">
        <v>41824</v>
      </c>
      <c r="M27" s="1" t="s">
        <v>99</v>
      </c>
      <c r="N27" s="1" t="s">
        <v>19</v>
      </c>
      <c r="O27" s="1" t="s">
        <v>43</v>
      </c>
      <c r="P27">
        <f t="shared" si="28"/>
        <v>32.134999999999998</v>
      </c>
      <c r="Q27" s="50">
        <v>80.22999999999999</v>
      </c>
      <c r="R27" s="3">
        <f t="shared" si="0"/>
        <v>48.31</v>
      </c>
      <c r="S27" s="3">
        <f t="shared" si="30"/>
        <v>32.134999999999998</v>
      </c>
      <c r="T27" s="3">
        <f t="shared" si="1"/>
        <v>112.36499999999998</v>
      </c>
      <c r="U27" s="3">
        <f t="shared" si="2"/>
        <v>16.175000000000011</v>
      </c>
      <c r="V27" s="88">
        <f t="shared" si="34"/>
        <v>16.175000000000011</v>
      </c>
      <c r="W27" s="50">
        <f t="shared" si="32"/>
        <v>128.54</v>
      </c>
      <c r="X27" s="3">
        <f t="shared" si="35"/>
        <v>0</v>
      </c>
      <c r="Y27" s="3">
        <f t="shared" si="33"/>
        <v>0</v>
      </c>
      <c r="Z27" s="12">
        <f t="shared" si="36"/>
        <v>128.54</v>
      </c>
      <c r="AA27" s="12">
        <f t="shared" si="10"/>
        <v>0</v>
      </c>
      <c r="AB27" s="3">
        <f t="shared" si="11"/>
        <v>0</v>
      </c>
      <c r="AC27" s="12">
        <f t="shared" si="12"/>
        <v>128.54</v>
      </c>
      <c r="AD27" s="12">
        <f t="shared" si="13"/>
        <v>0</v>
      </c>
      <c r="AE27" s="3">
        <f t="shared" si="14"/>
        <v>0</v>
      </c>
      <c r="AF27" s="12">
        <f t="shared" si="15"/>
        <v>128.54</v>
      </c>
      <c r="AG27" s="12">
        <f t="shared" si="16"/>
        <v>0</v>
      </c>
      <c r="AH27" s="3">
        <f t="shared" si="17"/>
        <v>0</v>
      </c>
      <c r="AI27" s="12">
        <f t="shared" si="27"/>
        <v>128.54</v>
      </c>
      <c r="AJ27" s="12">
        <f t="shared" si="18"/>
        <v>0</v>
      </c>
      <c r="AK27" s="3">
        <f t="shared" si="19"/>
        <v>0</v>
      </c>
      <c r="AL27" s="12">
        <f t="shared" si="20"/>
        <v>128.54</v>
      </c>
      <c r="AM27" s="12">
        <f t="shared" si="8"/>
        <v>0</v>
      </c>
      <c r="AN27" s="3">
        <f t="shared" si="21"/>
        <v>0</v>
      </c>
      <c r="AO27" s="12">
        <f t="shared" si="22"/>
        <v>128.54</v>
      </c>
      <c r="AP27" s="12">
        <f t="shared" si="23"/>
        <v>0</v>
      </c>
      <c r="AQ27" s="3">
        <f t="shared" si="24"/>
        <v>0</v>
      </c>
      <c r="AR27" s="12">
        <f t="shared" si="25"/>
        <v>128.54</v>
      </c>
      <c r="AS27" s="12">
        <f t="shared" si="26"/>
        <v>0</v>
      </c>
      <c r="AT27" s="148" t="s">
        <v>342</v>
      </c>
    </row>
    <row r="28" spans="1:54" x14ac:dyDescent="0.25">
      <c r="A28" s="1" t="s">
        <v>14</v>
      </c>
      <c r="B28" s="1" t="s">
        <v>180</v>
      </c>
      <c r="C28" s="58" t="s">
        <v>100</v>
      </c>
      <c r="D28" s="137">
        <v>41824</v>
      </c>
      <c r="E28" s="59">
        <v>128.54</v>
      </c>
      <c r="F28" s="7">
        <v>0.25</v>
      </c>
      <c r="G28" s="2">
        <v>1</v>
      </c>
      <c r="H28" s="1" t="s">
        <v>21</v>
      </c>
      <c r="I28" s="1" t="s">
        <v>16</v>
      </c>
      <c r="J28" s="1" t="s">
        <v>17</v>
      </c>
      <c r="K28" s="1" t="s">
        <v>18</v>
      </c>
      <c r="L28" s="4">
        <v>41824</v>
      </c>
      <c r="M28" s="1" t="s">
        <v>101</v>
      </c>
      <c r="N28" s="1" t="s">
        <v>19</v>
      </c>
      <c r="O28" s="1" t="s">
        <v>43</v>
      </c>
      <c r="P28">
        <f t="shared" si="28"/>
        <v>32.134999999999998</v>
      </c>
      <c r="Q28" s="50">
        <v>80.22999999999999</v>
      </c>
      <c r="R28" s="3">
        <f t="shared" si="0"/>
        <v>48.31</v>
      </c>
      <c r="S28" s="3">
        <f t="shared" si="30"/>
        <v>32.134999999999998</v>
      </c>
      <c r="T28" s="3">
        <f t="shared" si="1"/>
        <v>112.36499999999998</v>
      </c>
      <c r="U28" s="3">
        <f t="shared" si="2"/>
        <v>16.175000000000011</v>
      </c>
      <c r="V28" s="88">
        <f t="shared" si="34"/>
        <v>16.175000000000011</v>
      </c>
      <c r="W28" s="50">
        <f t="shared" si="32"/>
        <v>128.54</v>
      </c>
      <c r="X28" s="3">
        <f t="shared" si="35"/>
        <v>0</v>
      </c>
      <c r="Y28" s="3">
        <f t="shared" si="33"/>
        <v>0</v>
      </c>
      <c r="Z28" s="12">
        <f t="shared" si="36"/>
        <v>128.54</v>
      </c>
      <c r="AA28" s="12">
        <f t="shared" si="10"/>
        <v>0</v>
      </c>
      <c r="AB28" s="3">
        <f t="shared" si="11"/>
        <v>0</v>
      </c>
      <c r="AC28" s="12">
        <f t="shared" si="12"/>
        <v>128.54</v>
      </c>
      <c r="AD28" s="12">
        <f t="shared" si="13"/>
        <v>0</v>
      </c>
      <c r="AE28" s="3">
        <f t="shared" si="14"/>
        <v>0</v>
      </c>
      <c r="AF28" s="12">
        <f t="shared" si="15"/>
        <v>128.54</v>
      </c>
      <c r="AG28" s="12">
        <f t="shared" si="16"/>
        <v>0</v>
      </c>
      <c r="AH28" s="3">
        <f t="shared" si="17"/>
        <v>0</v>
      </c>
      <c r="AI28" s="12">
        <f t="shared" si="27"/>
        <v>128.54</v>
      </c>
      <c r="AJ28" s="12">
        <f t="shared" si="18"/>
        <v>0</v>
      </c>
      <c r="AK28" s="3">
        <f t="shared" si="19"/>
        <v>0</v>
      </c>
      <c r="AL28" s="12">
        <f t="shared" si="20"/>
        <v>128.54</v>
      </c>
      <c r="AM28" s="12">
        <f t="shared" si="8"/>
        <v>0</v>
      </c>
      <c r="AN28" s="3">
        <f t="shared" si="21"/>
        <v>0</v>
      </c>
      <c r="AO28" s="12">
        <f t="shared" si="22"/>
        <v>128.54</v>
      </c>
      <c r="AP28" s="12">
        <f t="shared" si="23"/>
        <v>0</v>
      </c>
      <c r="AQ28" s="3">
        <f t="shared" si="24"/>
        <v>0</v>
      </c>
      <c r="AR28" s="12">
        <f t="shared" si="25"/>
        <v>128.54</v>
      </c>
      <c r="AS28" s="12">
        <f t="shared" si="26"/>
        <v>0</v>
      </c>
      <c r="AT28" s="148" t="s">
        <v>342</v>
      </c>
    </row>
    <row r="29" spans="1:54" s="126" customFormat="1" x14ac:dyDescent="0.25">
      <c r="A29" s="120" t="s">
        <v>14</v>
      </c>
      <c r="B29" s="120" t="s">
        <v>181</v>
      </c>
      <c r="C29" s="58" t="s">
        <v>102</v>
      </c>
      <c r="D29" s="139">
        <v>41955</v>
      </c>
      <c r="E29" s="59">
        <v>877</v>
      </c>
      <c r="F29" s="122">
        <v>0.25</v>
      </c>
      <c r="G29" s="123">
        <v>1</v>
      </c>
      <c r="H29" s="120" t="s">
        <v>21</v>
      </c>
      <c r="I29" s="120" t="s">
        <v>16</v>
      </c>
      <c r="J29" s="120" t="s">
        <v>17</v>
      </c>
      <c r="K29" s="120" t="s">
        <v>97</v>
      </c>
      <c r="L29" s="121">
        <v>41955</v>
      </c>
      <c r="M29" s="120" t="s">
        <v>103</v>
      </c>
      <c r="N29" s="120" t="s">
        <v>19</v>
      </c>
      <c r="O29" s="120" t="s">
        <v>43</v>
      </c>
      <c r="P29" s="126">
        <f t="shared" si="28"/>
        <v>219.25</v>
      </c>
      <c r="Q29" s="125">
        <v>468.18</v>
      </c>
      <c r="R29" s="125">
        <f t="shared" si="0"/>
        <v>408.82</v>
      </c>
      <c r="S29" s="125">
        <f t="shared" si="30"/>
        <v>219.25</v>
      </c>
      <c r="T29" s="125">
        <f t="shared" si="1"/>
        <v>687.43000000000006</v>
      </c>
      <c r="U29" s="125">
        <f t="shared" si="2"/>
        <v>189.56999999999994</v>
      </c>
      <c r="V29" s="125">
        <f t="shared" si="34"/>
        <v>189.56999999999994</v>
      </c>
      <c r="W29" s="50">
        <f t="shared" si="32"/>
        <v>877</v>
      </c>
      <c r="X29" s="125">
        <f t="shared" si="35"/>
        <v>0</v>
      </c>
      <c r="Y29" s="3">
        <f t="shared" si="33"/>
        <v>0</v>
      </c>
      <c r="Z29" s="12">
        <f t="shared" si="36"/>
        <v>877</v>
      </c>
      <c r="AA29" s="12">
        <f t="shared" si="10"/>
        <v>0</v>
      </c>
      <c r="AB29" s="3">
        <f t="shared" si="11"/>
        <v>0</v>
      </c>
      <c r="AC29" s="12">
        <f t="shared" si="12"/>
        <v>877</v>
      </c>
      <c r="AD29" s="12">
        <f t="shared" si="13"/>
        <v>0</v>
      </c>
      <c r="AE29" s="3">
        <f t="shared" si="14"/>
        <v>0</v>
      </c>
      <c r="AF29" s="12">
        <f t="shared" si="15"/>
        <v>877</v>
      </c>
      <c r="AG29" s="12">
        <f t="shared" si="16"/>
        <v>0</v>
      </c>
      <c r="AH29" s="3">
        <f t="shared" si="17"/>
        <v>0</v>
      </c>
      <c r="AI29" s="12">
        <f>SUM(AF29,AH29)</f>
        <v>877</v>
      </c>
      <c r="AJ29" s="12">
        <f t="shared" si="18"/>
        <v>0</v>
      </c>
      <c r="AK29" s="3">
        <f t="shared" si="19"/>
        <v>0</v>
      </c>
      <c r="AL29" s="12">
        <f t="shared" si="20"/>
        <v>877</v>
      </c>
      <c r="AM29" s="12">
        <f t="shared" si="8"/>
        <v>0</v>
      </c>
      <c r="AN29" s="3">
        <f t="shared" si="21"/>
        <v>0</v>
      </c>
      <c r="AO29" s="12">
        <f t="shared" si="22"/>
        <v>877</v>
      </c>
      <c r="AP29" s="12">
        <f t="shared" si="23"/>
        <v>0</v>
      </c>
      <c r="AQ29" s="3">
        <f t="shared" si="24"/>
        <v>0</v>
      </c>
      <c r="AR29" s="12">
        <f t="shared" si="25"/>
        <v>877</v>
      </c>
      <c r="AS29" s="12">
        <f t="shared" si="26"/>
        <v>0</v>
      </c>
      <c r="AT29" s="148" t="s">
        <v>342</v>
      </c>
    </row>
    <row r="30" spans="1:54" x14ac:dyDescent="0.25">
      <c r="A30" s="1"/>
      <c r="B30" s="1" t="s">
        <v>182</v>
      </c>
      <c r="C30" s="58" t="s">
        <v>183</v>
      </c>
      <c r="D30" s="137">
        <v>42044</v>
      </c>
      <c r="E30" s="59">
        <v>132</v>
      </c>
      <c r="F30" s="20">
        <v>0.25</v>
      </c>
      <c r="G30" s="2"/>
      <c r="H30" s="1"/>
      <c r="I30" s="1" t="s">
        <v>16</v>
      </c>
      <c r="J30" s="1" t="s">
        <v>17</v>
      </c>
      <c r="K30" s="1">
        <v>40000073</v>
      </c>
      <c r="L30" s="4">
        <f t="shared" ref="L30:L40" si="37">D30</f>
        <v>42044</v>
      </c>
      <c r="M30" s="1"/>
      <c r="N30" s="1"/>
      <c r="O30" s="1"/>
      <c r="P30">
        <f t="shared" si="28"/>
        <v>33</v>
      </c>
      <c r="Q30" s="50">
        <v>63.25</v>
      </c>
      <c r="R30" s="3">
        <f t="shared" si="0"/>
        <v>68.75</v>
      </c>
      <c r="S30" s="3">
        <f t="shared" si="30"/>
        <v>33</v>
      </c>
      <c r="T30" s="3">
        <f t="shared" si="1"/>
        <v>96.25</v>
      </c>
      <c r="U30" s="3">
        <f t="shared" si="2"/>
        <v>35.75</v>
      </c>
      <c r="V30" s="3">
        <f t="shared" ref="V30:V50" si="38">E30*F30</f>
        <v>33</v>
      </c>
      <c r="W30" s="50">
        <f t="shared" si="32"/>
        <v>129.25</v>
      </c>
      <c r="X30" s="3">
        <f t="shared" si="35"/>
        <v>2.75</v>
      </c>
      <c r="Y30" s="3">
        <f t="shared" si="33"/>
        <v>2.75</v>
      </c>
      <c r="Z30" s="3">
        <f t="shared" si="36"/>
        <v>132</v>
      </c>
      <c r="AA30" s="12">
        <f t="shared" si="10"/>
        <v>0</v>
      </c>
      <c r="AB30" s="3">
        <f t="shared" si="11"/>
        <v>0</v>
      </c>
      <c r="AC30" s="12">
        <f t="shared" si="12"/>
        <v>132</v>
      </c>
      <c r="AD30" s="12">
        <f t="shared" si="13"/>
        <v>0</v>
      </c>
      <c r="AE30" s="3">
        <f t="shared" si="14"/>
        <v>0</v>
      </c>
      <c r="AF30" s="12">
        <f t="shared" si="15"/>
        <v>132</v>
      </c>
      <c r="AG30" s="12">
        <f t="shared" si="16"/>
        <v>0</v>
      </c>
      <c r="AH30" s="3">
        <f t="shared" si="17"/>
        <v>0</v>
      </c>
      <c r="AI30" s="12">
        <f t="shared" ref="AI30:AI61" si="39">SUM(AF30,AH30)</f>
        <v>132</v>
      </c>
      <c r="AJ30" s="12">
        <f t="shared" si="18"/>
        <v>0</v>
      </c>
      <c r="AK30" s="3">
        <f t="shared" si="19"/>
        <v>0</v>
      </c>
      <c r="AL30" s="12">
        <f t="shared" si="20"/>
        <v>132</v>
      </c>
      <c r="AM30" s="12">
        <f t="shared" si="8"/>
        <v>0</v>
      </c>
      <c r="AN30" s="3">
        <f t="shared" si="21"/>
        <v>0</v>
      </c>
      <c r="AO30" s="12">
        <f t="shared" si="22"/>
        <v>132</v>
      </c>
      <c r="AP30" s="12">
        <f t="shared" si="23"/>
        <v>0</v>
      </c>
      <c r="AQ30" s="3">
        <f t="shared" si="24"/>
        <v>0</v>
      </c>
      <c r="AR30" s="12">
        <f t="shared" si="25"/>
        <v>132</v>
      </c>
      <c r="AS30" s="12">
        <f t="shared" si="26"/>
        <v>0</v>
      </c>
      <c r="AT30" s="148" t="s">
        <v>342</v>
      </c>
    </row>
    <row r="31" spans="1:54" x14ac:dyDescent="0.25">
      <c r="A31" s="1"/>
      <c r="B31" s="74" t="s">
        <v>184</v>
      </c>
      <c r="C31" s="58" t="s">
        <v>185</v>
      </c>
      <c r="D31" s="137">
        <v>42058</v>
      </c>
      <c r="E31" s="59">
        <v>75.91</v>
      </c>
      <c r="F31" s="21">
        <v>0.25</v>
      </c>
      <c r="G31" s="2"/>
      <c r="H31" s="1"/>
      <c r="I31" s="1" t="s">
        <v>16</v>
      </c>
      <c r="J31" s="1" t="s">
        <v>17</v>
      </c>
      <c r="K31" s="1" t="s">
        <v>18</v>
      </c>
      <c r="L31" s="4">
        <f t="shared" si="37"/>
        <v>42058</v>
      </c>
      <c r="M31" s="1"/>
      <c r="N31" s="1"/>
      <c r="O31" s="1"/>
      <c r="P31">
        <f t="shared" si="28"/>
        <v>18.977499999999999</v>
      </c>
      <c r="Q31" s="50">
        <v>34.792083333333331</v>
      </c>
      <c r="R31" s="3">
        <f t="shared" si="0"/>
        <v>41.117916666666666</v>
      </c>
      <c r="S31" s="3">
        <f t="shared" si="30"/>
        <v>18.977499999999999</v>
      </c>
      <c r="T31" s="3">
        <f t="shared" si="1"/>
        <v>53.76958333333333</v>
      </c>
      <c r="U31" s="3">
        <f t="shared" si="2"/>
        <v>22.140416666666667</v>
      </c>
      <c r="V31" s="3">
        <f t="shared" si="38"/>
        <v>18.977499999999999</v>
      </c>
      <c r="W31" s="50">
        <f t="shared" si="32"/>
        <v>72.747083333333336</v>
      </c>
      <c r="X31" s="3">
        <f t="shared" si="35"/>
        <v>3.1629166666666606</v>
      </c>
      <c r="Y31" s="3">
        <f t="shared" si="33"/>
        <v>3.16</v>
      </c>
      <c r="Z31" s="3">
        <f t="shared" si="36"/>
        <v>75.907083333333333</v>
      </c>
      <c r="AA31" s="12">
        <f t="shared" si="10"/>
        <v>2.916666666664014E-3</v>
      </c>
      <c r="AB31" s="3">
        <f t="shared" si="11"/>
        <v>0</v>
      </c>
      <c r="AC31" s="12">
        <f t="shared" si="12"/>
        <v>75.907083333333333</v>
      </c>
      <c r="AD31" s="12">
        <f t="shared" si="13"/>
        <v>2.916666666664014E-3</v>
      </c>
      <c r="AE31" s="3">
        <f t="shared" si="14"/>
        <v>0</v>
      </c>
      <c r="AF31" s="12">
        <f t="shared" si="15"/>
        <v>75.907083333333333</v>
      </c>
      <c r="AG31" s="12">
        <f t="shared" si="16"/>
        <v>2.916666666664014E-3</v>
      </c>
      <c r="AH31" s="3">
        <f t="shared" si="17"/>
        <v>0</v>
      </c>
      <c r="AI31" s="12">
        <f t="shared" si="39"/>
        <v>75.907083333333333</v>
      </c>
      <c r="AJ31" s="12">
        <f t="shared" si="18"/>
        <v>2.916666666664014E-3</v>
      </c>
      <c r="AK31" s="3">
        <f t="shared" si="19"/>
        <v>0</v>
      </c>
      <c r="AL31" s="12">
        <f t="shared" si="20"/>
        <v>75.907083333333333</v>
      </c>
      <c r="AM31" s="12">
        <f t="shared" si="8"/>
        <v>2.916666666664014E-3</v>
      </c>
      <c r="AN31" s="3">
        <f t="shared" si="21"/>
        <v>0</v>
      </c>
      <c r="AO31" s="12">
        <f t="shared" si="22"/>
        <v>75.907083333333333</v>
      </c>
      <c r="AP31" s="12">
        <f t="shared" si="23"/>
        <v>2.916666666664014E-3</v>
      </c>
      <c r="AQ31" s="3">
        <f t="shared" si="24"/>
        <v>0</v>
      </c>
      <c r="AR31" s="12">
        <f t="shared" si="25"/>
        <v>75.907083333333333</v>
      </c>
      <c r="AS31" s="12">
        <f t="shared" si="26"/>
        <v>2.916666666664014E-3</v>
      </c>
      <c r="AT31" s="148" t="s">
        <v>342</v>
      </c>
    </row>
    <row r="32" spans="1:54" x14ac:dyDescent="0.25">
      <c r="A32" s="1"/>
      <c r="B32" s="1" t="s">
        <v>186</v>
      </c>
      <c r="C32" s="58" t="s">
        <v>187</v>
      </c>
      <c r="D32" s="137">
        <v>42059</v>
      </c>
      <c r="E32" s="59">
        <f>50.36+0.01</f>
        <v>50.37</v>
      </c>
      <c r="F32" s="21">
        <v>0.25</v>
      </c>
      <c r="G32" s="2"/>
      <c r="H32" s="1"/>
      <c r="I32" s="1" t="s">
        <v>16</v>
      </c>
      <c r="J32" s="1" t="s">
        <v>17</v>
      </c>
      <c r="K32" s="1" t="s">
        <v>18</v>
      </c>
      <c r="L32" s="4">
        <f t="shared" si="37"/>
        <v>42059</v>
      </c>
      <c r="M32" s="1"/>
      <c r="N32" s="1"/>
      <c r="O32" s="1"/>
      <c r="P32">
        <f t="shared" si="28"/>
        <v>12.592499999999999</v>
      </c>
      <c r="Q32" s="50">
        <v>23.08625</v>
      </c>
      <c r="R32" s="3">
        <f t="shared" si="0"/>
        <v>27.283749999999998</v>
      </c>
      <c r="S32" s="3">
        <f t="shared" si="30"/>
        <v>12.592499999999999</v>
      </c>
      <c r="T32" s="3">
        <f t="shared" si="1"/>
        <v>35.678750000000001</v>
      </c>
      <c r="U32" s="3">
        <f t="shared" si="2"/>
        <v>14.691249999999997</v>
      </c>
      <c r="V32" s="3">
        <f t="shared" si="38"/>
        <v>12.592499999999999</v>
      </c>
      <c r="W32" s="50">
        <f t="shared" si="32"/>
        <v>48.271250000000002</v>
      </c>
      <c r="X32" s="3">
        <f t="shared" si="35"/>
        <v>2.0987499999999955</v>
      </c>
      <c r="Y32" s="3">
        <f t="shared" si="33"/>
        <v>2.1</v>
      </c>
      <c r="Z32" s="3">
        <f t="shared" si="36"/>
        <v>50.371250000000003</v>
      </c>
      <c r="AA32" s="12">
        <f t="shared" si="10"/>
        <v>-1.2500000000059686E-3</v>
      </c>
      <c r="AB32" s="3">
        <f t="shared" si="11"/>
        <v>0</v>
      </c>
      <c r="AC32" s="12">
        <f t="shared" si="12"/>
        <v>50.371250000000003</v>
      </c>
      <c r="AD32" s="12">
        <f t="shared" si="13"/>
        <v>-1.2500000000059686E-3</v>
      </c>
      <c r="AE32" s="3">
        <f t="shared" si="14"/>
        <v>0</v>
      </c>
      <c r="AF32" s="12">
        <f t="shared" si="15"/>
        <v>50.371250000000003</v>
      </c>
      <c r="AG32" s="12">
        <f t="shared" si="16"/>
        <v>-1.2500000000059686E-3</v>
      </c>
      <c r="AH32" s="3">
        <f t="shared" si="17"/>
        <v>0</v>
      </c>
      <c r="AI32" s="12">
        <f t="shared" si="39"/>
        <v>50.371250000000003</v>
      </c>
      <c r="AJ32" s="12">
        <f t="shared" si="18"/>
        <v>-1.2500000000059686E-3</v>
      </c>
      <c r="AK32" s="3">
        <f t="shared" si="19"/>
        <v>0</v>
      </c>
      <c r="AL32" s="12">
        <f t="shared" si="20"/>
        <v>50.371250000000003</v>
      </c>
      <c r="AM32" s="12">
        <f t="shared" si="8"/>
        <v>-1.2500000000059686E-3</v>
      </c>
      <c r="AN32" s="3">
        <f t="shared" si="21"/>
        <v>0</v>
      </c>
      <c r="AO32" s="12">
        <f t="shared" si="22"/>
        <v>50.371250000000003</v>
      </c>
      <c r="AP32" s="12">
        <f t="shared" si="23"/>
        <v>-1.2500000000059686E-3</v>
      </c>
      <c r="AQ32" s="3">
        <f t="shared" si="24"/>
        <v>0</v>
      </c>
      <c r="AR32" s="12">
        <f t="shared" si="25"/>
        <v>50.371250000000003</v>
      </c>
      <c r="AS32" s="12">
        <f t="shared" si="26"/>
        <v>-1.2500000000059686E-3</v>
      </c>
      <c r="AT32" s="148" t="s">
        <v>342</v>
      </c>
    </row>
    <row r="33" spans="1:46" x14ac:dyDescent="0.25">
      <c r="A33" s="1"/>
      <c r="B33" s="1" t="s">
        <v>188</v>
      </c>
      <c r="C33" s="58" t="s">
        <v>189</v>
      </c>
      <c r="D33" s="137">
        <v>42129</v>
      </c>
      <c r="E33" s="59">
        <v>281.39999999999998</v>
      </c>
      <c r="F33" s="21">
        <v>0.25</v>
      </c>
      <c r="G33" s="2"/>
      <c r="H33" s="1"/>
      <c r="I33" s="1" t="s">
        <v>16</v>
      </c>
      <c r="J33" s="1" t="s">
        <v>17</v>
      </c>
      <c r="K33" s="1" t="s">
        <v>18</v>
      </c>
      <c r="L33" s="4">
        <f t="shared" si="37"/>
        <v>42129</v>
      </c>
      <c r="M33" s="1"/>
      <c r="N33" s="1"/>
      <c r="O33" s="1"/>
      <c r="P33">
        <f t="shared" si="28"/>
        <v>70.349999999999994</v>
      </c>
      <c r="Q33" s="50">
        <v>117.25</v>
      </c>
      <c r="R33" s="3">
        <f t="shared" si="0"/>
        <v>164.14999999999998</v>
      </c>
      <c r="S33" s="3">
        <f t="shared" si="30"/>
        <v>70.349999999999994</v>
      </c>
      <c r="T33" s="3">
        <f t="shared" si="1"/>
        <v>187.6</v>
      </c>
      <c r="U33" s="3">
        <f t="shared" si="2"/>
        <v>93.799999999999983</v>
      </c>
      <c r="V33" s="3">
        <f t="shared" si="38"/>
        <v>70.349999999999994</v>
      </c>
      <c r="W33" s="50">
        <f t="shared" si="32"/>
        <v>257.95</v>
      </c>
      <c r="X33" s="3">
        <f t="shared" si="35"/>
        <v>23.449999999999989</v>
      </c>
      <c r="Y33" s="3">
        <f t="shared" si="33"/>
        <v>23.45</v>
      </c>
      <c r="Z33" s="3">
        <f t="shared" si="36"/>
        <v>281.39999999999998</v>
      </c>
      <c r="AA33" s="12">
        <f t="shared" si="10"/>
        <v>0</v>
      </c>
      <c r="AB33" s="3">
        <f t="shared" si="11"/>
        <v>0</v>
      </c>
      <c r="AC33" s="12">
        <f t="shared" si="12"/>
        <v>281.39999999999998</v>
      </c>
      <c r="AD33" s="12">
        <f t="shared" si="13"/>
        <v>0</v>
      </c>
      <c r="AE33" s="3">
        <f t="shared" si="14"/>
        <v>0</v>
      </c>
      <c r="AF33" s="12">
        <f t="shared" si="15"/>
        <v>281.39999999999998</v>
      </c>
      <c r="AG33" s="12">
        <f t="shared" si="16"/>
        <v>0</v>
      </c>
      <c r="AH33" s="3">
        <f t="shared" si="17"/>
        <v>0</v>
      </c>
      <c r="AI33" s="12">
        <f t="shared" si="39"/>
        <v>281.39999999999998</v>
      </c>
      <c r="AJ33" s="12">
        <f t="shared" si="18"/>
        <v>0</v>
      </c>
      <c r="AK33" s="3">
        <f t="shared" si="19"/>
        <v>0</v>
      </c>
      <c r="AL33" s="12">
        <f t="shared" si="20"/>
        <v>281.39999999999998</v>
      </c>
      <c r="AM33" s="12">
        <f t="shared" si="8"/>
        <v>0</v>
      </c>
      <c r="AN33" s="3">
        <f t="shared" si="21"/>
        <v>0</v>
      </c>
      <c r="AO33" s="12">
        <f t="shared" si="22"/>
        <v>281.39999999999998</v>
      </c>
      <c r="AP33" s="12">
        <f t="shared" si="23"/>
        <v>0</v>
      </c>
      <c r="AQ33" s="3">
        <f t="shared" si="24"/>
        <v>0</v>
      </c>
      <c r="AR33" s="12">
        <f t="shared" si="25"/>
        <v>281.39999999999998</v>
      </c>
      <c r="AS33" s="12">
        <f t="shared" si="26"/>
        <v>0</v>
      </c>
      <c r="AT33" s="148" t="s">
        <v>342</v>
      </c>
    </row>
    <row r="34" spans="1:46" x14ac:dyDescent="0.25">
      <c r="A34" s="1"/>
      <c r="B34" s="1" t="s">
        <v>193</v>
      </c>
      <c r="C34" s="58" t="s">
        <v>190</v>
      </c>
      <c r="D34" s="137">
        <v>42206</v>
      </c>
      <c r="E34" s="59">
        <v>87.34</v>
      </c>
      <c r="F34" s="20">
        <v>0.25</v>
      </c>
      <c r="G34" s="2"/>
      <c r="H34" s="1"/>
      <c r="I34" s="1" t="s">
        <v>16</v>
      </c>
      <c r="J34" s="1" t="s">
        <v>17</v>
      </c>
      <c r="K34" s="1" t="s">
        <v>18</v>
      </c>
      <c r="L34" s="4">
        <f t="shared" si="37"/>
        <v>42206</v>
      </c>
      <c r="M34" s="1"/>
      <c r="N34" s="1"/>
      <c r="O34" s="1"/>
      <c r="P34">
        <f t="shared" si="28"/>
        <v>21.835000000000001</v>
      </c>
      <c r="Q34" s="50">
        <v>30.932916666666671</v>
      </c>
      <c r="R34" s="3">
        <f t="shared" si="0"/>
        <v>56.407083333333333</v>
      </c>
      <c r="S34" s="3">
        <f t="shared" si="30"/>
        <v>21.835000000000001</v>
      </c>
      <c r="T34" s="3">
        <f t="shared" si="1"/>
        <v>52.767916666666672</v>
      </c>
      <c r="U34" s="3">
        <f t="shared" si="2"/>
        <v>34.572083333333332</v>
      </c>
      <c r="V34" s="3">
        <f t="shared" si="38"/>
        <v>21.835000000000001</v>
      </c>
      <c r="W34" s="50">
        <f t="shared" si="32"/>
        <v>74.602916666666673</v>
      </c>
      <c r="X34" s="3">
        <f t="shared" si="35"/>
        <v>12.737083333333331</v>
      </c>
      <c r="Y34" s="3">
        <f t="shared" si="33"/>
        <v>12.74</v>
      </c>
      <c r="Z34" s="3">
        <f t="shared" si="36"/>
        <v>87.342916666666667</v>
      </c>
      <c r="AA34" s="12">
        <f t="shared" si="10"/>
        <v>-2.916666666664014E-3</v>
      </c>
      <c r="AB34" s="3">
        <f t="shared" si="11"/>
        <v>0</v>
      </c>
      <c r="AC34" s="12">
        <f t="shared" si="12"/>
        <v>87.342916666666667</v>
      </c>
      <c r="AD34" s="12">
        <f t="shared" si="13"/>
        <v>-2.916666666664014E-3</v>
      </c>
      <c r="AE34" s="3">
        <f t="shared" si="14"/>
        <v>0</v>
      </c>
      <c r="AF34" s="12">
        <f t="shared" si="15"/>
        <v>87.342916666666667</v>
      </c>
      <c r="AG34" s="12">
        <f t="shared" si="16"/>
        <v>-2.916666666664014E-3</v>
      </c>
      <c r="AH34" s="3">
        <f t="shared" si="17"/>
        <v>0</v>
      </c>
      <c r="AI34" s="12">
        <f t="shared" si="39"/>
        <v>87.342916666666667</v>
      </c>
      <c r="AJ34" s="12">
        <f t="shared" si="18"/>
        <v>-2.916666666664014E-3</v>
      </c>
      <c r="AK34" s="3">
        <f t="shared" si="19"/>
        <v>0</v>
      </c>
      <c r="AL34" s="12">
        <f t="shared" si="20"/>
        <v>87.342916666666667</v>
      </c>
      <c r="AM34" s="12">
        <f t="shared" si="8"/>
        <v>-2.916666666664014E-3</v>
      </c>
      <c r="AN34" s="3">
        <f t="shared" si="21"/>
        <v>0</v>
      </c>
      <c r="AO34" s="12">
        <f t="shared" si="22"/>
        <v>87.342916666666667</v>
      </c>
      <c r="AP34" s="12">
        <f t="shared" si="23"/>
        <v>-2.916666666664014E-3</v>
      </c>
      <c r="AQ34" s="3">
        <f t="shared" si="24"/>
        <v>0</v>
      </c>
      <c r="AR34" s="12">
        <f t="shared" si="25"/>
        <v>87.342916666666667</v>
      </c>
      <c r="AS34" s="12">
        <f t="shared" si="26"/>
        <v>-2.916666666664014E-3</v>
      </c>
      <c r="AT34" s="148" t="s">
        <v>342</v>
      </c>
    </row>
    <row r="35" spans="1:46" x14ac:dyDescent="0.25">
      <c r="A35" s="1"/>
      <c r="B35" s="1" t="s">
        <v>194</v>
      </c>
      <c r="C35" s="58" t="s">
        <v>195</v>
      </c>
      <c r="D35" s="137">
        <v>42263</v>
      </c>
      <c r="E35" s="59">
        <v>22.97</v>
      </c>
      <c r="F35" s="20">
        <v>0.25</v>
      </c>
      <c r="G35" s="2"/>
      <c r="H35" s="1"/>
      <c r="I35" s="1" t="s">
        <v>16</v>
      </c>
      <c r="J35" s="1" t="s">
        <v>17</v>
      </c>
      <c r="K35" s="1" t="s">
        <v>18</v>
      </c>
      <c r="L35" s="4">
        <f t="shared" si="37"/>
        <v>42263</v>
      </c>
      <c r="M35" s="1"/>
      <c r="N35" s="1"/>
      <c r="O35" s="1"/>
      <c r="P35">
        <f t="shared" si="28"/>
        <v>5.7424999999999997</v>
      </c>
      <c r="Q35" s="50">
        <v>7.417395833333333</v>
      </c>
      <c r="R35" s="3">
        <f t="shared" si="0"/>
        <v>15.552604166666665</v>
      </c>
      <c r="S35" s="3">
        <f t="shared" si="30"/>
        <v>5.7424999999999997</v>
      </c>
      <c r="T35" s="3">
        <f t="shared" si="1"/>
        <v>13.159895833333334</v>
      </c>
      <c r="U35" s="3">
        <f t="shared" si="2"/>
        <v>9.8101041666666653</v>
      </c>
      <c r="V35" s="3">
        <f t="shared" si="38"/>
        <v>5.7424999999999997</v>
      </c>
      <c r="W35" s="50">
        <f t="shared" si="32"/>
        <v>18.902395833333333</v>
      </c>
      <c r="X35" s="3">
        <f t="shared" si="35"/>
        <v>4.0676041666666656</v>
      </c>
      <c r="Y35" s="3">
        <f t="shared" si="33"/>
        <v>4.07</v>
      </c>
      <c r="Z35" s="3">
        <f t="shared" si="36"/>
        <v>22.972395833333334</v>
      </c>
      <c r="AA35" s="12">
        <f t="shared" si="10"/>
        <v>-2.395833333334707E-3</v>
      </c>
      <c r="AB35" s="3">
        <f t="shared" si="11"/>
        <v>0</v>
      </c>
      <c r="AC35" s="12">
        <f t="shared" si="12"/>
        <v>22.972395833333334</v>
      </c>
      <c r="AD35" s="12">
        <f t="shared" si="13"/>
        <v>-2.395833333334707E-3</v>
      </c>
      <c r="AE35" s="3">
        <f t="shared" si="14"/>
        <v>0</v>
      </c>
      <c r="AF35" s="12">
        <f t="shared" si="15"/>
        <v>22.972395833333334</v>
      </c>
      <c r="AG35" s="12">
        <f t="shared" si="16"/>
        <v>-2.395833333334707E-3</v>
      </c>
      <c r="AH35" s="3">
        <f t="shared" si="17"/>
        <v>0</v>
      </c>
      <c r="AI35" s="12">
        <f t="shared" si="39"/>
        <v>22.972395833333334</v>
      </c>
      <c r="AJ35" s="12">
        <f t="shared" si="18"/>
        <v>-2.395833333334707E-3</v>
      </c>
      <c r="AK35" s="3">
        <f t="shared" si="19"/>
        <v>0</v>
      </c>
      <c r="AL35" s="12">
        <f t="shared" si="20"/>
        <v>22.972395833333334</v>
      </c>
      <c r="AM35" s="12">
        <f t="shared" si="8"/>
        <v>-2.395833333334707E-3</v>
      </c>
      <c r="AN35" s="3">
        <f t="shared" si="21"/>
        <v>0</v>
      </c>
      <c r="AO35" s="12">
        <f t="shared" si="22"/>
        <v>22.972395833333334</v>
      </c>
      <c r="AP35" s="12">
        <f t="shared" si="23"/>
        <v>-2.395833333334707E-3</v>
      </c>
      <c r="AQ35" s="3">
        <f t="shared" si="24"/>
        <v>0</v>
      </c>
      <c r="AR35" s="12">
        <f t="shared" si="25"/>
        <v>22.972395833333334</v>
      </c>
      <c r="AS35" s="12">
        <f t="shared" si="26"/>
        <v>-2.395833333334707E-3</v>
      </c>
      <c r="AT35" s="148" t="s">
        <v>342</v>
      </c>
    </row>
    <row r="36" spans="1:46" x14ac:dyDescent="0.25">
      <c r="A36" s="1"/>
      <c r="B36" s="1" t="s">
        <v>197</v>
      </c>
      <c r="C36" s="58" t="s">
        <v>196</v>
      </c>
      <c r="D36" s="137">
        <v>42263</v>
      </c>
      <c r="E36" s="59">
        <v>20.98</v>
      </c>
      <c r="F36" s="20">
        <v>0.25</v>
      </c>
      <c r="G36" s="2"/>
      <c r="H36" s="1"/>
      <c r="I36" s="1" t="s">
        <v>16</v>
      </c>
      <c r="J36" s="1" t="s">
        <v>17</v>
      </c>
      <c r="K36" s="1" t="s">
        <v>18</v>
      </c>
      <c r="L36" s="4">
        <f t="shared" si="37"/>
        <v>42263</v>
      </c>
      <c r="M36" s="1"/>
      <c r="N36" s="1"/>
      <c r="O36" s="1"/>
      <c r="P36">
        <f t="shared" si="28"/>
        <v>5.2450000000000001</v>
      </c>
      <c r="Q36" s="50">
        <v>6.7747916666666672</v>
      </c>
      <c r="R36" s="3">
        <f t="shared" si="0"/>
        <v>14.205208333333333</v>
      </c>
      <c r="S36" s="3">
        <f t="shared" si="30"/>
        <v>5.2450000000000001</v>
      </c>
      <c r="T36" s="3">
        <f t="shared" si="1"/>
        <v>12.019791666666666</v>
      </c>
      <c r="U36" s="3">
        <f t="shared" si="2"/>
        <v>8.960208333333334</v>
      </c>
      <c r="V36" s="3">
        <f t="shared" si="38"/>
        <v>5.2450000000000001</v>
      </c>
      <c r="W36" s="50">
        <f t="shared" si="32"/>
        <v>17.264791666666667</v>
      </c>
      <c r="X36" s="3">
        <f t="shared" si="35"/>
        <v>3.715208333333333</v>
      </c>
      <c r="Y36" s="3">
        <f t="shared" si="33"/>
        <v>3.72</v>
      </c>
      <c r="Z36" s="3">
        <f t="shared" si="36"/>
        <v>20.984791666666666</v>
      </c>
      <c r="AA36" s="12">
        <f t="shared" si="10"/>
        <v>-4.7916666666658614E-3</v>
      </c>
      <c r="AB36" s="3">
        <f t="shared" si="11"/>
        <v>0</v>
      </c>
      <c r="AC36" s="12">
        <f t="shared" si="12"/>
        <v>20.984791666666666</v>
      </c>
      <c r="AD36" s="12">
        <f t="shared" si="13"/>
        <v>-4.7916666666658614E-3</v>
      </c>
      <c r="AE36" s="3">
        <f t="shared" si="14"/>
        <v>0</v>
      </c>
      <c r="AF36" s="12">
        <f t="shared" si="15"/>
        <v>20.984791666666666</v>
      </c>
      <c r="AG36" s="12">
        <f t="shared" si="16"/>
        <v>-4.7916666666658614E-3</v>
      </c>
      <c r="AH36" s="3">
        <f t="shared" si="17"/>
        <v>0</v>
      </c>
      <c r="AI36" s="12">
        <f t="shared" si="39"/>
        <v>20.984791666666666</v>
      </c>
      <c r="AJ36" s="12">
        <f t="shared" si="18"/>
        <v>-4.7916666666658614E-3</v>
      </c>
      <c r="AK36" s="3">
        <f t="shared" si="19"/>
        <v>0</v>
      </c>
      <c r="AL36" s="12">
        <f t="shared" si="20"/>
        <v>20.984791666666666</v>
      </c>
      <c r="AM36" s="12">
        <f t="shared" si="8"/>
        <v>-4.7916666666658614E-3</v>
      </c>
      <c r="AN36" s="3">
        <f t="shared" si="21"/>
        <v>0</v>
      </c>
      <c r="AO36" s="12">
        <f t="shared" si="22"/>
        <v>20.984791666666666</v>
      </c>
      <c r="AP36" s="12">
        <f t="shared" si="23"/>
        <v>-4.7916666666658614E-3</v>
      </c>
      <c r="AQ36" s="3">
        <f t="shared" si="24"/>
        <v>0</v>
      </c>
      <c r="AR36" s="12">
        <f t="shared" si="25"/>
        <v>20.984791666666666</v>
      </c>
      <c r="AS36" s="12">
        <f t="shared" si="26"/>
        <v>-4.7916666666658614E-3</v>
      </c>
      <c r="AT36" s="148" t="s">
        <v>342</v>
      </c>
    </row>
    <row r="37" spans="1:46" x14ac:dyDescent="0.25">
      <c r="A37" s="1"/>
      <c r="B37" s="1" t="s">
        <v>186</v>
      </c>
      <c r="C37" s="58" t="s">
        <v>199</v>
      </c>
      <c r="D37" s="137">
        <v>42298</v>
      </c>
      <c r="E37" s="59">
        <v>52.78</v>
      </c>
      <c r="F37" s="20">
        <v>0.25</v>
      </c>
      <c r="G37" s="2"/>
      <c r="H37" s="1"/>
      <c r="I37" s="1" t="s">
        <v>16</v>
      </c>
      <c r="J37" s="1" t="s">
        <v>17</v>
      </c>
      <c r="K37" s="1" t="s">
        <v>18</v>
      </c>
      <c r="L37" s="4">
        <f t="shared" si="37"/>
        <v>42298</v>
      </c>
      <c r="M37" s="1"/>
      <c r="N37" s="1"/>
      <c r="O37" s="1"/>
      <c r="P37">
        <f t="shared" si="28"/>
        <v>13.195</v>
      </c>
      <c r="Q37" s="50">
        <v>15.394166666666667</v>
      </c>
      <c r="R37" s="3">
        <f t="shared" si="0"/>
        <v>37.385833333333338</v>
      </c>
      <c r="S37" s="3">
        <f t="shared" si="30"/>
        <v>13.195</v>
      </c>
      <c r="T37" s="3">
        <f t="shared" si="1"/>
        <v>28.589166666666667</v>
      </c>
      <c r="U37" s="3">
        <f t="shared" si="2"/>
        <v>24.190833333333334</v>
      </c>
      <c r="V37" s="3">
        <f t="shared" si="38"/>
        <v>13.195</v>
      </c>
      <c r="W37" s="50">
        <f t="shared" si="32"/>
        <v>41.784166666666664</v>
      </c>
      <c r="X37" s="3">
        <f t="shared" si="35"/>
        <v>10.995833333333337</v>
      </c>
      <c r="Y37" s="3">
        <f t="shared" si="33"/>
        <v>11</v>
      </c>
      <c r="Z37" s="3">
        <f t="shared" si="36"/>
        <v>52.784166666666664</v>
      </c>
      <c r="AA37" s="12">
        <f t="shared" si="10"/>
        <v>-4.1666666666628771E-3</v>
      </c>
      <c r="AB37" s="3">
        <f t="shared" si="11"/>
        <v>0</v>
      </c>
      <c r="AC37" s="12">
        <f t="shared" si="12"/>
        <v>52.784166666666664</v>
      </c>
      <c r="AD37" s="12">
        <f t="shared" si="13"/>
        <v>-4.1666666666628771E-3</v>
      </c>
      <c r="AE37" s="3">
        <f t="shared" si="14"/>
        <v>0</v>
      </c>
      <c r="AF37" s="12">
        <f t="shared" si="15"/>
        <v>52.784166666666664</v>
      </c>
      <c r="AG37" s="12">
        <f t="shared" si="16"/>
        <v>-4.1666666666628771E-3</v>
      </c>
      <c r="AH37" s="3">
        <f t="shared" si="17"/>
        <v>0</v>
      </c>
      <c r="AI37" s="12">
        <f t="shared" si="39"/>
        <v>52.784166666666664</v>
      </c>
      <c r="AJ37" s="12">
        <f t="shared" si="18"/>
        <v>-4.1666666666628771E-3</v>
      </c>
      <c r="AK37" s="3">
        <f t="shared" si="19"/>
        <v>0</v>
      </c>
      <c r="AL37" s="12">
        <f t="shared" si="20"/>
        <v>52.784166666666664</v>
      </c>
      <c r="AM37" s="12">
        <f t="shared" si="8"/>
        <v>-4.1666666666628771E-3</v>
      </c>
      <c r="AN37" s="3">
        <f t="shared" si="21"/>
        <v>0</v>
      </c>
      <c r="AO37" s="12">
        <f t="shared" si="22"/>
        <v>52.784166666666664</v>
      </c>
      <c r="AP37" s="12">
        <f t="shared" si="23"/>
        <v>-4.1666666666628771E-3</v>
      </c>
      <c r="AQ37" s="3">
        <f t="shared" si="24"/>
        <v>0</v>
      </c>
      <c r="AR37" s="12">
        <f t="shared" si="25"/>
        <v>52.784166666666664</v>
      </c>
      <c r="AS37" s="12">
        <f t="shared" si="26"/>
        <v>-4.1666666666628771E-3</v>
      </c>
      <c r="AT37" s="148" t="s">
        <v>342</v>
      </c>
    </row>
    <row r="38" spans="1:46" x14ac:dyDescent="0.25">
      <c r="A38" s="1"/>
      <c r="B38" s="1" t="s">
        <v>202</v>
      </c>
      <c r="C38" s="58" t="s">
        <v>200</v>
      </c>
      <c r="D38" s="137">
        <v>42349</v>
      </c>
      <c r="E38" s="59">
        <v>1281</v>
      </c>
      <c r="F38" s="21">
        <v>0.25</v>
      </c>
      <c r="G38" s="2"/>
      <c r="H38" s="1"/>
      <c r="I38" s="1" t="s">
        <v>16</v>
      </c>
      <c r="J38" s="1" t="s">
        <v>17</v>
      </c>
      <c r="K38" s="1" t="s">
        <v>203</v>
      </c>
      <c r="L38" s="4">
        <f t="shared" si="37"/>
        <v>42349</v>
      </c>
      <c r="M38" s="1"/>
      <c r="N38" s="1"/>
      <c r="O38" s="1"/>
      <c r="P38">
        <f t="shared" si="28"/>
        <v>320.25</v>
      </c>
      <c r="Q38" s="3">
        <v>333.59375</v>
      </c>
      <c r="R38" s="3">
        <f t="shared" si="0"/>
        <v>947.40625</v>
      </c>
      <c r="S38" s="3">
        <f t="shared" si="30"/>
        <v>320.25</v>
      </c>
      <c r="T38" s="3">
        <f t="shared" si="1"/>
        <v>653.84375</v>
      </c>
      <c r="U38" s="3">
        <f t="shared" si="2"/>
        <v>627.15625</v>
      </c>
      <c r="V38" s="3">
        <f t="shared" si="38"/>
        <v>320.25</v>
      </c>
      <c r="W38" s="50">
        <f t="shared" si="32"/>
        <v>974.09375</v>
      </c>
      <c r="X38" s="3">
        <f t="shared" si="35"/>
        <v>306.90625</v>
      </c>
      <c r="Y38" s="3">
        <f t="shared" si="33"/>
        <v>306.91000000000003</v>
      </c>
      <c r="Z38" s="3">
        <f t="shared" si="36"/>
        <v>1281.0037500000001</v>
      </c>
      <c r="AA38" s="12">
        <f t="shared" si="10"/>
        <v>-3.7500000000818545E-3</v>
      </c>
      <c r="AB38" s="3">
        <f t="shared" si="11"/>
        <v>0</v>
      </c>
      <c r="AC38" s="12">
        <f t="shared" si="12"/>
        <v>1281.0037500000001</v>
      </c>
      <c r="AD38" s="12">
        <f t="shared" si="13"/>
        <v>-3.7500000000818545E-3</v>
      </c>
      <c r="AE38" s="3">
        <f t="shared" si="14"/>
        <v>0</v>
      </c>
      <c r="AF38" s="12">
        <f t="shared" si="15"/>
        <v>1281.0037500000001</v>
      </c>
      <c r="AG38" s="12">
        <f t="shared" si="16"/>
        <v>-3.7500000000818545E-3</v>
      </c>
      <c r="AH38" s="3">
        <f t="shared" si="17"/>
        <v>0</v>
      </c>
      <c r="AI38" s="12">
        <f t="shared" si="39"/>
        <v>1281.0037500000001</v>
      </c>
      <c r="AJ38" s="12">
        <f t="shared" si="18"/>
        <v>-3.7500000000818545E-3</v>
      </c>
      <c r="AK38" s="3">
        <f t="shared" si="19"/>
        <v>0</v>
      </c>
      <c r="AL38" s="12">
        <f t="shared" si="20"/>
        <v>1281.0037500000001</v>
      </c>
      <c r="AM38" s="12">
        <f t="shared" si="8"/>
        <v>-3.7500000000818545E-3</v>
      </c>
      <c r="AN38" s="3">
        <f t="shared" si="21"/>
        <v>0</v>
      </c>
      <c r="AO38" s="12">
        <f t="shared" si="22"/>
        <v>1281.0037500000001</v>
      </c>
      <c r="AP38" s="12">
        <f t="shared" si="23"/>
        <v>-3.7500000000818545E-3</v>
      </c>
      <c r="AQ38" s="3">
        <f t="shared" si="24"/>
        <v>0</v>
      </c>
      <c r="AR38" s="12">
        <f t="shared" si="25"/>
        <v>1281.0037500000001</v>
      </c>
      <c r="AS38" s="12">
        <f t="shared" si="26"/>
        <v>-3.7500000000818545E-3</v>
      </c>
      <c r="AT38" s="148" t="s">
        <v>342</v>
      </c>
    </row>
    <row r="39" spans="1:46" x14ac:dyDescent="0.25">
      <c r="A39" s="1"/>
      <c r="B39" s="1" t="s">
        <v>198</v>
      </c>
      <c r="C39" s="58" t="s">
        <v>201</v>
      </c>
      <c r="D39" s="137">
        <v>42275</v>
      </c>
      <c r="E39" s="59">
        <v>1197.52</v>
      </c>
      <c r="F39" s="20">
        <v>0.25</v>
      </c>
      <c r="G39" s="2"/>
      <c r="H39" s="1"/>
      <c r="I39" s="1" t="s">
        <v>16</v>
      </c>
      <c r="J39" s="1" t="s">
        <v>17</v>
      </c>
      <c r="K39" s="1" t="s">
        <v>18</v>
      </c>
      <c r="L39" s="4">
        <f t="shared" si="37"/>
        <v>42275</v>
      </c>
      <c r="M39" s="1"/>
      <c r="N39" s="1"/>
      <c r="O39" s="1"/>
      <c r="P39">
        <f t="shared" si="28"/>
        <v>299.38</v>
      </c>
      <c r="Q39" s="50">
        <v>374.22500000000002</v>
      </c>
      <c r="R39" s="3">
        <f t="shared" si="0"/>
        <v>823.29499999999996</v>
      </c>
      <c r="S39" s="3">
        <f t="shared" si="30"/>
        <v>299.38</v>
      </c>
      <c r="T39" s="3">
        <f t="shared" si="1"/>
        <v>673.60500000000002</v>
      </c>
      <c r="U39" s="3">
        <f t="shared" si="2"/>
        <v>523.91499999999996</v>
      </c>
      <c r="V39" s="3">
        <f t="shared" si="38"/>
        <v>299.38</v>
      </c>
      <c r="W39" s="50">
        <f t="shared" si="32"/>
        <v>972.98500000000001</v>
      </c>
      <c r="X39" s="3">
        <f t="shared" si="35"/>
        <v>224.53499999999997</v>
      </c>
      <c r="Y39" s="3">
        <f>ROUND(IF(((E39*F39)+W39)&gt;E39,X39,(E39*F39)),2)-0.01</f>
        <v>224.53</v>
      </c>
      <c r="Z39" s="3">
        <f t="shared" si="36"/>
        <v>1197.5150000000001</v>
      </c>
      <c r="AA39" s="12">
        <f t="shared" si="10"/>
        <v>4.9999999998817657E-3</v>
      </c>
      <c r="AB39" s="3">
        <f t="shared" si="11"/>
        <v>0</v>
      </c>
      <c r="AC39" s="12">
        <f t="shared" si="12"/>
        <v>1197.5150000000001</v>
      </c>
      <c r="AD39" s="12">
        <f t="shared" si="13"/>
        <v>4.9999999998817657E-3</v>
      </c>
      <c r="AE39" s="3">
        <f t="shared" si="14"/>
        <v>0</v>
      </c>
      <c r="AF39" s="12">
        <f t="shared" si="15"/>
        <v>1197.5150000000001</v>
      </c>
      <c r="AG39" s="12">
        <f t="shared" si="16"/>
        <v>4.9999999998817657E-3</v>
      </c>
      <c r="AH39" s="3">
        <f t="shared" si="17"/>
        <v>0</v>
      </c>
      <c r="AI39" s="12">
        <f t="shared" si="39"/>
        <v>1197.5150000000001</v>
      </c>
      <c r="AJ39" s="12">
        <f t="shared" si="18"/>
        <v>4.9999999998817657E-3</v>
      </c>
      <c r="AK39" s="3">
        <f t="shared" si="19"/>
        <v>0</v>
      </c>
      <c r="AL39" s="12">
        <f t="shared" si="20"/>
        <v>1197.5150000000001</v>
      </c>
      <c r="AM39" s="12">
        <f t="shared" si="8"/>
        <v>4.9999999998817657E-3</v>
      </c>
      <c r="AN39" s="3">
        <f t="shared" si="21"/>
        <v>0</v>
      </c>
      <c r="AO39" s="12">
        <f t="shared" si="22"/>
        <v>1197.5150000000001</v>
      </c>
      <c r="AP39" s="12">
        <f t="shared" si="23"/>
        <v>4.9999999998817657E-3</v>
      </c>
      <c r="AQ39" s="3">
        <f t="shared" si="24"/>
        <v>0</v>
      </c>
      <c r="AR39" s="12">
        <f t="shared" si="25"/>
        <v>1197.5150000000001</v>
      </c>
      <c r="AS39" s="12">
        <f t="shared" si="26"/>
        <v>4.9999999998817657E-3</v>
      </c>
      <c r="AT39" s="148" t="s">
        <v>342</v>
      </c>
    </row>
    <row r="40" spans="1:46" x14ac:dyDescent="0.25">
      <c r="A40" s="1"/>
      <c r="B40" s="1" t="s">
        <v>191</v>
      </c>
      <c r="C40" s="58" t="str">
        <f>"0000000090"</f>
        <v>0000000090</v>
      </c>
      <c r="D40" s="137">
        <v>42144</v>
      </c>
      <c r="E40" s="59">
        <v>2290</v>
      </c>
      <c r="F40" s="20">
        <v>0.25</v>
      </c>
      <c r="G40" s="2"/>
      <c r="H40" s="1"/>
      <c r="I40" s="1" t="s">
        <v>16</v>
      </c>
      <c r="J40" s="1" t="s">
        <v>17</v>
      </c>
      <c r="K40" s="1" t="s">
        <v>192</v>
      </c>
      <c r="L40" s="4">
        <f t="shared" si="37"/>
        <v>42144</v>
      </c>
      <c r="M40" s="1"/>
      <c r="N40" s="1"/>
      <c r="O40" s="1"/>
      <c r="P40">
        <f t="shared" si="28"/>
        <v>572.5</v>
      </c>
      <c r="Q40" s="50">
        <v>906.45833333333326</v>
      </c>
      <c r="R40" s="3">
        <f t="shared" si="0"/>
        <v>1383.5416666666667</v>
      </c>
      <c r="S40" s="3">
        <f t="shared" si="30"/>
        <v>572.5</v>
      </c>
      <c r="T40" s="3">
        <f t="shared" si="1"/>
        <v>1478.9583333333333</v>
      </c>
      <c r="U40" s="3">
        <f t="shared" si="2"/>
        <v>811.04166666666674</v>
      </c>
      <c r="V40" s="3">
        <f t="shared" si="38"/>
        <v>572.5</v>
      </c>
      <c r="W40" s="50">
        <f t="shared" si="32"/>
        <v>2051.458333333333</v>
      </c>
      <c r="X40" s="3">
        <f t="shared" si="35"/>
        <v>238.54166666666697</v>
      </c>
      <c r="Y40" s="3">
        <f t="shared" si="33"/>
        <v>238.54</v>
      </c>
      <c r="Z40" s="3">
        <f t="shared" si="36"/>
        <v>2289.998333333333</v>
      </c>
      <c r="AA40" s="12">
        <f t="shared" si="10"/>
        <v>1.6666666670062114E-3</v>
      </c>
      <c r="AB40" s="3">
        <f t="shared" si="11"/>
        <v>0</v>
      </c>
      <c r="AC40" s="12">
        <f t="shared" si="12"/>
        <v>2289.998333333333</v>
      </c>
      <c r="AD40" s="12">
        <f t="shared" si="13"/>
        <v>1.6666666670062114E-3</v>
      </c>
      <c r="AE40" s="3">
        <f t="shared" si="14"/>
        <v>0</v>
      </c>
      <c r="AF40" s="12">
        <f t="shared" si="15"/>
        <v>2289.998333333333</v>
      </c>
      <c r="AG40" s="12">
        <f t="shared" si="16"/>
        <v>1.6666666670062114E-3</v>
      </c>
      <c r="AH40" s="3">
        <f t="shared" si="17"/>
        <v>0</v>
      </c>
      <c r="AI40" s="12">
        <f t="shared" si="39"/>
        <v>2289.998333333333</v>
      </c>
      <c r="AJ40" s="12">
        <f t="shared" si="18"/>
        <v>1.6666666670062114E-3</v>
      </c>
      <c r="AK40" s="3">
        <f t="shared" si="19"/>
        <v>0</v>
      </c>
      <c r="AL40" s="12">
        <f t="shared" si="20"/>
        <v>2289.998333333333</v>
      </c>
      <c r="AM40" s="12">
        <f t="shared" si="8"/>
        <v>1.6666666670062114E-3</v>
      </c>
      <c r="AN40" s="3">
        <f t="shared" si="21"/>
        <v>0</v>
      </c>
      <c r="AO40" s="12">
        <f t="shared" si="22"/>
        <v>2289.998333333333</v>
      </c>
      <c r="AP40" s="12">
        <f t="shared" si="23"/>
        <v>1.6666666670062114E-3</v>
      </c>
      <c r="AQ40" s="3">
        <f t="shared" si="24"/>
        <v>0</v>
      </c>
      <c r="AR40" s="12">
        <f t="shared" si="25"/>
        <v>2289.998333333333</v>
      </c>
      <c r="AS40" s="12">
        <f t="shared" si="26"/>
        <v>1.6666666670062114E-3</v>
      </c>
      <c r="AT40" s="148" t="s">
        <v>342</v>
      </c>
    </row>
    <row r="41" spans="1:46" x14ac:dyDescent="0.25">
      <c r="A41" s="1"/>
      <c r="B41" s="1"/>
      <c r="C41" s="37" t="s">
        <v>131</v>
      </c>
      <c r="D41" s="140">
        <v>39752</v>
      </c>
      <c r="E41" s="59">
        <v>-1595</v>
      </c>
      <c r="F41" s="127">
        <v>0.1</v>
      </c>
      <c r="G41" s="128"/>
      <c r="H41" s="129"/>
      <c r="I41" s="129"/>
      <c r="J41" s="129"/>
      <c r="K41" s="129"/>
      <c r="L41" s="130" t="s">
        <v>130</v>
      </c>
      <c r="M41" s="129"/>
      <c r="N41" s="129"/>
      <c r="O41" s="129"/>
      <c r="P41" s="131">
        <f t="shared" si="28"/>
        <v>-159.5</v>
      </c>
      <c r="Q41" s="132">
        <v>-1402.73</v>
      </c>
      <c r="R41" s="132">
        <f t="shared" si="0"/>
        <v>-192.26999999999998</v>
      </c>
      <c r="S41" s="132">
        <f t="shared" si="30"/>
        <v>-159.5</v>
      </c>
      <c r="T41" s="132">
        <f t="shared" si="1"/>
        <v>-1562.23</v>
      </c>
      <c r="U41" s="132">
        <f t="shared" si="2"/>
        <v>-32.769999999999982</v>
      </c>
      <c r="V41" s="132">
        <v>-32.770000000000003</v>
      </c>
      <c r="W41" s="132">
        <f t="shared" si="32"/>
        <v>-1595</v>
      </c>
      <c r="X41" s="132">
        <f t="shared" si="35"/>
        <v>0</v>
      </c>
      <c r="Y41" s="132">
        <v>0</v>
      </c>
      <c r="Z41" s="132">
        <f>W41+Y41</f>
        <v>-1595</v>
      </c>
      <c r="AA41" s="12">
        <f t="shared" si="10"/>
        <v>0</v>
      </c>
      <c r="AB41" s="3">
        <v>0</v>
      </c>
      <c r="AC41" s="12">
        <f t="shared" si="12"/>
        <v>-1595</v>
      </c>
      <c r="AD41" s="12">
        <f t="shared" si="13"/>
        <v>0</v>
      </c>
      <c r="AE41" s="3">
        <v>0</v>
      </c>
      <c r="AF41" s="12">
        <f t="shared" si="15"/>
        <v>-1595</v>
      </c>
      <c r="AG41" s="12">
        <f t="shared" si="16"/>
        <v>0</v>
      </c>
      <c r="AH41" s="3">
        <v>0</v>
      </c>
      <c r="AI41" s="12">
        <f t="shared" si="39"/>
        <v>-1595</v>
      </c>
      <c r="AJ41" s="12">
        <f t="shared" si="18"/>
        <v>0</v>
      </c>
      <c r="AK41" s="3">
        <v>0</v>
      </c>
      <c r="AL41" s="12">
        <f t="shared" si="20"/>
        <v>-1595</v>
      </c>
      <c r="AM41" s="12">
        <f t="shared" si="8"/>
        <v>0</v>
      </c>
      <c r="AN41" s="3">
        <v>0</v>
      </c>
      <c r="AO41" s="12">
        <f t="shared" si="22"/>
        <v>-1595</v>
      </c>
      <c r="AP41" s="12">
        <f t="shared" si="23"/>
        <v>0</v>
      </c>
      <c r="AQ41" s="3">
        <v>0</v>
      </c>
      <c r="AR41" s="12">
        <f t="shared" si="25"/>
        <v>-1595</v>
      </c>
      <c r="AS41" s="12">
        <f t="shared" si="26"/>
        <v>0</v>
      </c>
      <c r="AT41" s="148" t="s">
        <v>342</v>
      </c>
    </row>
    <row r="42" spans="1:46" s="24" customFormat="1" x14ac:dyDescent="0.25">
      <c r="A42" s="22"/>
      <c r="B42" s="22" t="s">
        <v>207</v>
      </c>
      <c r="C42" s="58" t="str">
        <f>"0000000093"</f>
        <v>0000000093</v>
      </c>
      <c r="D42" s="141" t="s">
        <v>134</v>
      </c>
      <c r="E42" s="156">
        <v>417.27</v>
      </c>
      <c r="F42" s="23">
        <v>0.25</v>
      </c>
      <c r="G42" s="2"/>
      <c r="H42" s="1"/>
      <c r="I42" s="1" t="s">
        <v>205</v>
      </c>
      <c r="J42" s="1" t="s">
        <v>17</v>
      </c>
      <c r="K42" s="1" t="s">
        <v>18</v>
      </c>
      <c r="L42" s="4" t="str">
        <f t="shared" ref="L42:L53" si="40">D42</f>
        <v>16-03-16</v>
      </c>
      <c r="M42" s="1"/>
      <c r="N42" s="1"/>
      <c r="O42" s="1"/>
      <c r="P42" s="24">
        <f>((E42*F42)/12)*10</f>
        <v>86.931250000000006</v>
      </c>
      <c r="Q42" s="51">
        <v>86.931250000000006</v>
      </c>
      <c r="R42" s="44">
        <f t="shared" si="0"/>
        <v>330.33875</v>
      </c>
      <c r="S42" s="3">
        <f t="shared" si="30"/>
        <v>104.3175</v>
      </c>
      <c r="T42" s="3">
        <f t="shared" si="1"/>
        <v>191.24875</v>
      </c>
      <c r="U42" s="3">
        <f t="shared" si="2"/>
        <v>226.02124999999998</v>
      </c>
      <c r="V42" s="3">
        <f t="shared" si="38"/>
        <v>104.3175</v>
      </c>
      <c r="W42" s="50">
        <f t="shared" si="32"/>
        <v>295.56624999999997</v>
      </c>
      <c r="X42" s="3">
        <f t="shared" si="35"/>
        <v>121.70375000000001</v>
      </c>
      <c r="Y42" s="3">
        <f t="shared" si="33"/>
        <v>104.32</v>
      </c>
      <c r="Z42" s="3">
        <f t="shared" si="36"/>
        <v>399.88624999999996</v>
      </c>
      <c r="AA42" s="12">
        <f t="shared" si="10"/>
        <v>17.38375000000002</v>
      </c>
      <c r="AB42" s="3">
        <f t="shared" si="11"/>
        <v>17.38</v>
      </c>
      <c r="AC42" s="12">
        <f t="shared" si="12"/>
        <v>417.26624999999996</v>
      </c>
      <c r="AD42" s="12">
        <f t="shared" si="13"/>
        <v>3.7500000000250111E-3</v>
      </c>
      <c r="AE42" s="3">
        <f t="shared" si="14"/>
        <v>0</v>
      </c>
      <c r="AF42" s="12">
        <f t="shared" si="15"/>
        <v>417.26624999999996</v>
      </c>
      <c r="AG42" s="12">
        <f t="shared" si="16"/>
        <v>3.7500000000250111E-3</v>
      </c>
      <c r="AH42" s="3">
        <f t="shared" si="17"/>
        <v>0</v>
      </c>
      <c r="AI42" s="12">
        <f t="shared" si="39"/>
        <v>417.26624999999996</v>
      </c>
      <c r="AJ42" s="12">
        <f t="shared" si="18"/>
        <v>3.7500000000250111E-3</v>
      </c>
      <c r="AK42" s="3">
        <f t="shared" si="19"/>
        <v>0</v>
      </c>
      <c r="AL42" s="12">
        <f t="shared" si="20"/>
        <v>417.26624999999996</v>
      </c>
      <c r="AM42" s="12">
        <f t="shared" si="8"/>
        <v>3.7500000000250111E-3</v>
      </c>
      <c r="AN42" s="3">
        <f t="shared" si="21"/>
        <v>0</v>
      </c>
      <c r="AO42" s="12">
        <f t="shared" si="22"/>
        <v>417.26624999999996</v>
      </c>
      <c r="AP42" s="12">
        <f t="shared" si="23"/>
        <v>3.7500000000250111E-3</v>
      </c>
      <c r="AQ42" s="3">
        <f t="shared" si="24"/>
        <v>0</v>
      </c>
      <c r="AR42" s="12">
        <f t="shared" si="25"/>
        <v>417.26624999999996</v>
      </c>
      <c r="AS42" s="12">
        <f t="shared" si="26"/>
        <v>3.7500000000250111E-3</v>
      </c>
      <c r="AT42" s="150" t="s">
        <v>342</v>
      </c>
    </row>
    <row r="43" spans="1:46" s="24" customFormat="1" x14ac:dyDescent="0.25">
      <c r="A43" s="22"/>
      <c r="B43" s="22" t="s">
        <v>208</v>
      </c>
      <c r="C43" s="58" t="str">
        <f>"0000000095"</f>
        <v>0000000095</v>
      </c>
      <c r="D43" s="141" t="s">
        <v>135</v>
      </c>
      <c r="E43" s="156">
        <v>1467</v>
      </c>
      <c r="F43" s="23">
        <v>0.25</v>
      </c>
      <c r="G43" s="2"/>
      <c r="H43" s="1"/>
      <c r="I43" s="1" t="s">
        <v>205</v>
      </c>
      <c r="J43" s="1" t="s">
        <v>17</v>
      </c>
      <c r="K43" s="1" t="s">
        <v>192</v>
      </c>
      <c r="L43" s="4" t="str">
        <f t="shared" si="40"/>
        <v>19-03-16</v>
      </c>
      <c r="M43" s="1"/>
      <c r="N43" s="1"/>
      <c r="O43" s="1"/>
      <c r="P43" s="24">
        <f>((E43*F43)/12)*10</f>
        <v>305.625</v>
      </c>
      <c r="Q43" s="51">
        <v>305.625</v>
      </c>
      <c r="R43" s="44">
        <f t="shared" si="0"/>
        <v>1161.375</v>
      </c>
      <c r="S43" s="3">
        <f t="shared" si="30"/>
        <v>366.75</v>
      </c>
      <c r="T43" s="3">
        <f t="shared" si="1"/>
        <v>672.375</v>
      </c>
      <c r="U43" s="3">
        <f t="shared" si="2"/>
        <v>794.625</v>
      </c>
      <c r="V43" s="3">
        <f t="shared" si="38"/>
        <v>366.75</v>
      </c>
      <c r="W43" s="62">
        <f t="shared" si="32"/>
        <v>1039.125</v>
      </c>
      <c r="X43" s="3">
        <f t="shared" si="35"/>
        <v>427.875</v>
      </c>
      <c r="Y43" s="3">
        <f t="shared" si="33"/>
        <v>366.75</v>
      </c>
      <c r="Z43" s="3">
        <f t="shared" si="36"/>
        <v>1405.875</v>
      </c>
      <c r="AA43" s="12">
        <f t="shared" si="10"/>
        <v>61.125</v>
      </c>
      <c r="AB43" s="3">
        <f t="shared" si="11"/>
        <v>61.13</v>
      </c>
      <c r="AC43" s="12">
        <f t="shared" si="12"/>
        <v>1467.0050000000001</v>
      </c>
      <c r="AD43" s="12">
        <f t="shared" si="13"/>
        <v>-5.0000000001091394E-3</v>
      </c>
      <c r="AE43" s="3">
        <f t="shared" si="14"/>
        <v>-0.01</v>
      </c>
      <c r="AF43" s="12">
        <f t="shared" si="15"/>
        <v>1466.9950000000001</v>
      </c>
      <c r="AG43" s="12">
        <f t="shared" si="16"/>
        <v>4.9999999998817657E-3</v>
      </c>
      <c r="AH43" s="3">
        <f t="shared" si="17"/>
        <v>0</v>
      </c>
      <c r="AI43" s="12">
        <f t="shared" si="39"/>
        <v>1466.9950000000001</v>
      </c>
      <c r="AJ43" s="12">
        <f t="shared" si="18"/>
        <v>4.9999999998817657E-3</v>
      </c>
      <c r="AK43" s="3">
        <f t="shared" si="19"/>
        <v>0</v>
      </c>
      <c r="AL43" s="12">
        <f t="shared" si="20"/>
        <v>1466.9950000000001</v>
      </c>
      <c r="AM43" s="12">
        <f t="shared" si="8"/>
        <v>4.9999999998817657E-3</v>
      </c>
      <c r="AN43" s="3">
        <f t="shared" si="21"/>
        <v>0</v>
      </c>
      <c r="AO43" s="12">
        <f t="shared" si="22"/>
        <v>1466.9950000000001</v>
      </c>
      <c r="AP43" s="12">
        <f t="shared" si="23"/>
        <v>4.9999999998817657E-3</v>
      </c>
      <c r="AQ43" s="3">
        <f t="shared" si="24"/>
        <v>0</v>
      </c>
      <c r="AR43" s="12">
        <f t="shared" si="25"/>
        <v>1466.9950000000001</v>
      </c>
      <c r="AS43" s="12">
        <f t="shared" si="26"/>
        <v>4.9999999998817657E-3</v>
      </c>
      <c r="AT43" s="150" t="s">
        <v>342</v>
      </c>
    </row>
    <row r="44" spans="1:46" s="24" customFormat="1" x14ac:dyDescent="0.25">
      <c r="A44" s="22"/>
      <c r="B44" s="22" t="s">
        <v>206</v>
      </c>
      <c r="C44" s="58" t="str">
        <f>"0000000096"</f>
        <v>0000000096</v>
      </c>
      <c r="D44" s="141" t="s">
        <v>134</v>
      </c>
      <c r="E44" s="156">
        <v>66</v>
      </c>
      <c r="F44" s="23">
        <v>0.25</v>
      </c>
      <c r="G44" s="2"/>
      <c r="H44" s="1"/>
      <c r="I44" s="1" t="s">
        <v>205</v>
      </c>
      <c r="J44" s="1" t="s">
        <v>17</v>
      </c>
      <c r="K44" s="74" t="s">
        <v>203</v>
      </c>
      <c r="L44" s="4" t="str">
        <f t="shared" si="40"/>
        <v>16-03-16</v>
      </c>
      <c r="M44" s="1"/>
      <c r="N44" s="1"/>
      <c r="O44" s="1"/>
      <c r="P44" s="24">
        <f>((E44*F44)/12)*10</f>
        <v>13.75</v>
      </c>
      <c r="Q44" s="51">
        <v>13.75</v>
      </c>
      <c r="R44" s="44">
        <f t="shared" si="0"/>
        <v>52.25</v>
      </c>
      <c r="S44" s="3">
        <f t="shared" si="30"/>
        <v>16.5</v>
      </c>
      <c r="T44" s="3">
        <f t="shared" si="1"/>
        <v>30.25</v>
      </c>
      <c r="U44" s="3">
        <f t="shared" si="2"/>
        <v>35.75</v>
      </c>
      <c r="V44" s="3">
        <f t="shared" si="38"/>
        <v>16.5</v>
      </c>
      <c r="W44" s="50">
        <f t="shared" si="32"/>
        <v>46.75</v>
      </c>
      <c r="X44" s="3">
        <f t="shared" si="35"/>
        <v>19.25</v>
      </c>
      <c r="Y44" s="3">
        <f t="shared" si="33"/>
        <v>16.5</v>
      </c>
      <c r="Z44" s="3">
        <f t="shared" si="36"/>
        <v>63.25</v>
      </c>
      <c r="AA44" s="12">
        <f t="shared" si="10"/>
        <v>2.75</v>
      </c>
      <c r="AB44" s="3">
        <f t="shared" si="11"/>
        <v>2.75</v>
      </c>
      <c r="AC44" s="12">
        <f t="shared" si="12"/>
        <v>66</v>
      </c>
      <c r="AD44" s="12">
        <f t="shared" si="13"/>
        <v>0</v>
      </c>
      <c r="AE44" s="3">
        <f t="shared" si="14"/>
        <v>0</v>
      </c>
      <c r="AF44" s="12">
        <f t="shared" si="15"/>
        <v>66</v>
      </c>
      <c r="AG44" s="12">
        <f t="shared" si="16"/>
        <v>0</v>
      </c>
      <c r="AH44" s="3">
        <f t="shared" si="17"/>
        <v>0</v>
      </c>
      <c r="AI44" s="12">
        <f t="shared" si="39"/>
        <v>66</v>
      </c>
      <c r="AJ44" s="12">
        <f t="shared" si="18"/>
        <v>0</v>
      </c>
      <c r="AK44" s="3">
        <f t="shared" si="19"/>
        <v>0</v>
      </c>
      <c r="AL44" s="12">
        <f t="shared" si="20"/>
        <v>66</v>
      </c>
      <c r="AM44" s="12">
        <f t="shared" si="8"/>
        <v>0</v>
      </c>
      <c r="AN44" s="3">
        <f t="shared" si="21"/>
        <v>0</v>
      </c>
      <c r="AO44" s="12">
        <f t="shared" si="22"/>
        <v>66</v>
      </c>
      <c r="AP44" s="12">
        <f t="shared" si="23"/>
        <v>0</v>
      </c>
      <c r="AQ44" s="3">
        <f t="shared" si="24"/>
        <v>0</v>
      </c>
      <c r="AR44" s="12">
        <f t="shared" si="25"/>
        <v>66</v>
      </c>
      <c r="AS44" s="12">
        <f t="shared" si="26"/>
        <v>0</v>
      </c>
      <c r="AT44" s="150" t="s">
        <v>342</v>
      </c>
    </row>
    <row r="45" spans="1:46" s="24" customFormat="1" x14ac:dyDescent="0.25">
      <c r="A45" s="22"/>
      <c r="B45" s="22" t="s">
        <v>204</v>
      </c>
      <c r="C45" s="1" t="str">
        <f>"0000000097"</f>
        <v>0000000097</v>
      </c>
      <c r="D45" s="141" t="s">
        <v>133</v>
      </c>
      <c r="E45" s="134">
        <v>207.43</v>
      </c>
      <c r="F45" s="39">
        <v>0.25</v>
      </c>
      <c r="G45" s="2"/>
      <c r="H45" s="1"/>
      <c r="I45" s="1" t="s">
        <v>205</v>
      </c>
      <c r="J45" s="1" t="s">
        <v>17</v>
      </c>
      <c r="K45" s="1" t="s">
        <v>18</v>
      </c>
      <c r="L45" s="4" t="str">
        <f t="shared" si="40"/>
        <v>04-03-16</v>
      </c>
      <c r="M45" s="1"/>
      <c r="N45" s="1"/>
      <c r="O45" s="1"/>
      <c r="P45" s="75">
        <f>((E45*F45)/12)*10</f>
        <v>43.21458333333333</v>
      </c>
      <c r="Q45" s="51">
        <v>43.21458333333333</v>
      </c>
      <c r="R45" s="44">
        <f t="shared" si="0"/>
        <v>164.21541666666667</v>
      </c>
      <c r="S45" s="3">
        <f t="shared" si="30"/>
        <v>51.857500000000002</v>
      </c>
      <c r="T45" s="3">
        <f t="shared" si="1"/>
        <v>95.072083333333325</v>
      </c>
      <c r="U45" s="3">
        <f t="shared" si="2"/>
        <v>112.35791666666668</v>
      </c>
      <c r="V45" s="3">
        <f t="shared" si="38"/>
        <v>51.857500000000002</v>
      </c>
      <c r="W45" s="50">
        <f t="shared" si="32"/>
        <v>146.92958333333331</v>
      </c>
      <c r="X45" s="3">
        <f t="shared" si="35"/>
        <v>60.500416666666695</v>
      </c>
      <c r="Y45" s="3">
        <f t="shared" si="33"/>
        <v>51.86</v>
      </c>
      <c r="Z45" s="3">
        <f t="shared" si="36"/>
        <v>198.78958333333333</v>
      </c>
      <c r="AA45" s="12">
        <f t="shared" si="10"/>
        <v>8.6404166666666811</v>
      </c>
      <c r="AB45" s="3">
        <f t="shared" si="11"/>
        <v>8.64</v>
      </c>
      <c r="AC45" s="12">
        <f t="shared" si="12"/>
        <v>207.42958333333331</v>
      </c>
      <c r="AD45" s="12">
        <f t="shared" si="13"/>
        <v>4.1666666669470942E-4</v>
      </c>
      <c r="AE45" s="3">
        <f t="shared" si="14"/>
        <v>0</v>
      </c>
      <c r="AF45" s="12">
        <f t="shared" si="15"/>
        <v>207.42958333333331</v>
      </c>
      <c r="AG45" s="12">
        <f t="shared" si="16"/>
        <v>4.1666666669470942E-4</v>
      </c>
      <c r="AH45" s="3">
        <f t="shared" si="17"/>
        <v>0</v>
      </c>
      <c r="AI45" s="12">
        <f t="shared" si="39"/>
        <v>207.42958333333331</v>
      </c>
      <c r="AJ45" s="12">
        <f t="shared" si="18"/>
        <v>4.1666666669470942E-4</v>
      </c>
      <c r="AK45" s="3">
        <f t="shared" si="19"/>
        <v>0</v>
      </c>
      <c r="AL45" s="12">
        <f t="shared" si="20"/>
        <v>207.42958333333331</v>
      </c>
      <c r="AM45" s="12">
        <f t="shared" si="8"/>
        <v>4.1666666669470942E-4</v>
      </c>
      <c r="AN45" s="3">
        <f t="shared" si="21"/>
        <v>0</v>
      </c>
      <c r="AO45" s="12">
        <f t="shared" si="22"/>
        <v>207.42958333333331</v>
      </c>
      <c r="AP45" s="12">
        <f t="shared" si="23"/>
        <v>4.1666666669470942E-4</v>
      </c>
      <c r="AQ45" s="3">
        <f t="shared" si="24"/>
        <v>0</v>
      </c>
      <c r="AR45" s="12">
        <f t="shared" si="25"/>
        <v>207.42958333333331</v>
      </c>
      <c r="AS45" s="12">
        <f t="shared" si="26"/>
        <v>4.1666666669470942E-4</v>
      </c>
      <c r="AT45" s="150" t="s">
        <v>346</v>
      </c>
    </row>
    <row r="46" spans="1:46" x14ac:dyDescent="0.25">
      <c r="B46" t="s">
        <v>212</v>
      </c>
      <c r="C46" s="58" t="str">
        <f>"0000000099"</f>
        <v>0000000099</v>
      </c>
      <c r="D46" s="142" t="s">
        <v>213</v>
      </c>
      <c r="E46" s="156">
        <v>1568</v>
      </c>
      <c r="F46" s="39">
        <v>0.25</v>
      </c>
      <c r="I46" s="1" t="s">
        <v>205</v>
      </c>
      <c r="J46" s="1" t="s">
        <v>17</v>
      </c>
      <c r="K46" t="s">
        <v>214</v>
      </c>
      <c r="L46" s="4" t="str">
        <f t="shared" si="40"/>
        <v>03-03-17</v>
      </c>
      <c r="S46" s="3">
        <f>E46*F46/365*304</f>
        <v>326.48767123287672</v>
      </c>
      <c r="T46" s="3">
        <f t="shared" si="1"/>
        <v>326.48767123287672</v>
      </c>
      <c r="U46" s="3">
        <f t="shared" si="2"/>
        <v>1241.5123287671233</v>
      </c>
      <c r="V46" s="3">
        <f t="shared" si="38"/>
        <v>392</v>
      </c>
      <c r="W46" s="50">
        <f t="shared" si="32"/>
        <v>718.48767123287666</v>
      </c>
      <c r="X46" s="3">
        <f t="shared" si="35"/>
        <v>849.51232876712334</v>
      </c>
      <c r="Y46" s="3">
        <f t="shared" si="33"/>
        <v>392</v>
      </c>
      <c r="Z46" s="3">
        <f t="shared" si="36"/>
        <v>1110.4876712328767</v>
      </c>
      <c r="AA46" s="12">
        <f t="shared" si="10"/>
        <v>457.51232876712334</v>
      </c>
      <c r="AB46" s="3">
        <f t="shared" si="11"/>
        <v>392</v>
      </c>
      <c r="AC46" s="12">
        <f t="shared" si="12"/>
        <v>1502.4876712328767</v>
      </c>
      <c r="AD46" s="12">
        <f t="shared" si="13"/>
        <v>65.512328767123336</v>
      </c>
      <c r="AE46" s="3">
        <f t="shared" si="14"/>
        <v>65.510000000000005</v>
      </c>
      <c r="AF46" s="12">
        <f t="shared" si="15"/>
        <v>1567.9976712328767</v>
      </c>
      <c r="AG46" s="12">
        <f t="shared" si="16"/>
        <v>2.3287671233447327E-3</v>
      </c>
      <c r="AH46" s="3">
        <f t="shared" si="17"/>
        <v>0</v>
      </c>
      <c r="AI46" s="12">
        <f t="shared" si="39"/>
        <v>1567.9976712328767</v>
      </c>
      <c r="AJ46" s="12">
        <f t="shared" si="18"/>
        <v>2.3287671233447327E-3</v>
      </c>
      <c r="AK46" s="3">
        <f t="shared" si="19"/>
        <v>0</v>
      </c>
      <c r="AL46" s="12">
        <f t="shared" si="20"/>
        <v>1567.9976712328767</v>
      </c>
      <c r="AM46" s="12">
        <f t="shared" si="8"/>
        <v>2.3287671233447327E-3</v>
      </c>
      <c r="AN46" s="3">
        <f t="shared" si="21"/>
        <v>0</v>
      </c>
      <c r="AO46" s="12">
        <f t="shared" si="22"/>
        <v>1567.9976712328767</v>
      </c>
      <c r="AP46" s="12">
        <f t="shared" si="23"/>
        <v>2.3287671233447327E-3</v>
      </c>
      <c r="AQ46" s="3">
        <f t="shared" si="24"/>
        <v>0</v>
      </c>
      <c r="AR46" s="12">
        <f t="shared" si="25"/>
        <v>1567.9976712328767</v>
      </c>
      <c r="AS46" s="12">
        <f t="shared" si="26"/>
        <v>2.3287671233447327E-3</v>
      </c>
      <c r="AT46" s="148" t="s">
        <v>342</v>
      </c>
    </row>
    <row r="47" spans="1:46" x14ac:dyDescent="0.25">
      <c r="B47" t="s">
        <v>222</v>
      </c>
      <c r="C47" s="1" t="str">
        <f>"0000000100"</f>
        <v>0000000100</v>
      </c>
      <c r="D47" s="143" t="str">
        <f>"09-10-17"</f>
        <v>09-10-17</v>
      </c>
      <c r="E47" s="134">
        <v>1450.89</v>
      </c>
      <c r="F47" s="39">
        <v>0.25</v>
      </c>
      <c r="I47" s="1" t="s">
        <v>205</v>
      </c>
      <c r="J47" s="1" t="s">
        <v>17</v>
      </c>
      <c r="K47" t="s">
        <v>215</v>
      </c>
      <c r="L47" s="4" t="str">
        <f t="shared" si="40"/>
        <v>09-10-17</v>
      </c>
      <c r="S47" s="3">
        <f>E47*F47/365*84</f>
        <v>83.475863013698643</v>
      </c>
      <c r="T47" s="3">
        <f t="shared" si="1"/>
        <v>83.475863013698643</v>
      </c>
      <c r="U47" s="3">
        <f t="shared" si="2"/>
        <v>1367.4141369863014</v>
      </c>
      <c r="V47" s="3">
        <f t="shared" si="38"/>
        <v>362.72250000000003</v>
      </c>
      <c r="W47" s="50">
        <f t="shared" si="32"/>
        <v>446.19836301369867</v>
      </c>
      <c r="X47" s="3">
        <f t="shared" si="35"/>
        <v>1004.6916369863014</v>
      </c>
      <c r="Y47" s="3">
        <f t="shared" si="33"/>
        <v>362.72</v>
      </c>
      <c r="Z47" s="3">
        <f t="shared" si="36"/>
        <v>808.91836301369869</v>
      </c>
      <c r="AA47" s="12">
        <f t="shared" si="10"/>
        <v>641.97163698630141</v>
      </c>
      <c r="AB47" s="3">
        <f t="shared" si="11"/>
        <v>362.72</v>
      </c>
      <c r="AC47" s="12">
        <f t="shared" si="12"/>
        <v>1171.6383630136988</v>
      </c>
      <c r="AD47" s="12">
        <f t="shared" si="13"/>
        <v>279.25163698630126</v>
      </c>
      <c r="AE47" s="3">
        <f t="shared" si="14"/>
        <v>279.25</v>
      </c>
      <c r="AF47" s="12">
        <f t="shared" si="15"/>
        <v>1450.8883630136988</v>
      </c>
      <c r="AG47" s="12">
        <f t="shared" si="16"/>
        <v>1.6369863012641872E-3</v>
      </c>
      <c r="AH47" s="3">
        <f t="shared" si="17"/>
        <v>0</v>
      </c>
      <c r="AI47" s="12">
        <f t="shared" si="39"/>
        <v>1450.8883630136988</v>
      </c>
      <c r="AJ47" s="12">
        <f t="shared" si="18"/>
        <v>1.6369863012641872E-3</v>
      </c>
      <c r="AK47" s="3">
        <f t="shared" si="19"/>
        <v>0</v>
      </c>
      <c r="AL47" s="12">
        <f t="shared" si="20"/>
        <v>1450.8883630136988</v>
      </c>
      <c r="AM47" s="12">
        <f t="shared" si="8"/>
        <v>1.6369863012641872E-3</v>
      </c>
      <c r="AN47" s="3">
        <f t="shared" si="21"/>
        <v>0</v>
      </c>
      <c r="AO47" s="12">
        <f t="shared" si="22"/>
        <v>1450.8883630136988</v>
      </c>
      <c r="AP47" s="12">
        <f t="shared" si="23"/>
        <v>1.6369863012641872E-3</v>
      </c>
      <c r="AQ47" s="3">
        <f t="shared" si="24"/>
        <v>0</v>
      </c>
      <c r="AR47" s="12">
        <f t="shared" si="25"/>
        <v>1450.8883630136988</v>
      </c>
      <c r="AS47" s="12">
        <f t="shared" si="26"/>
        <v>1.6369863012641872E-3</v>
      </c>
    </row>
    <row r="48" spans="1:46" x14ac:dyDescent="0.25">
      <c r="B48" t="s">
        <v>221</v>
      </c>
      <c r="C48" s="63" t="s">
        <v>209</v>
      </c>
      <c r="D48" s="141" t="s">
        <v>210</v>
      </c>
      <c r="E48" s="156">
        <v>1174.75</v>
      </c>
      <c r="F48" s="39">
        <v>0.25</v>
      </c>
      <c r="I48" s="1" t="s">
        <v>205</v>
      </c>
      <c r="J48" s="1" t="s">
        <v>17</v>
      </c>
      <c r="K48" t="s">
        <v>211</v>
      </c>
      <c r="L48" s="4" t="str">
        <f t="shared" si="40"/>
        <v>21-02-17</v>
      </c>
      <c r="S48" s="3">
        <f>E48*F48/365*314</f>
        <v>252.65171232876713</v>
      </c>
      <c r="T48" s="3">
        <f t="shared" si="1"/>
        <v>252.65171232876713</v>
      </c>
      <c r="U48" s="3">
        <f t="shared" si="2"/>
        <v>922.09828767123281</v>
      </c>
      <c r="V48" s="3">
        <f t="shared" si="38"/>
        <v>293.6875</v>
      </c>
      <c r="W48" s="50">
        <f t="shared" si="32"/>
        <v>546.33921232876719</v>
      </c>
      <c r="X48" s="3">
        <f t="shared" si="35"/>
        <v>628.41078767123281</v>
      </c>
      <c r="Y48" s="3">
        <f t="shared" si="33"/>
        <v>293.69</v>
      </c>
      <c r="Z48" s="3">
        <f t="shared" si="36"/>
        <v>840.02921232876724</v>
      </c>
      <c r="AA48" s="12">
        <f t="shared" si="10"/>
        <v>334.72078767123276</v>
      </c>
      <c r="AB48" s="3">
        <f t="shared" si="11"/>
        <v>293.69</v>
      </c>
      <c r="AC48" s="12">
        <f t="shared" si="12"/>
        <v>1133.7192123287673</v>
      </c>
      <c r="AD48" s="12">
        <f t="shared" si="13"/>
        <v>41.030787671232702</v>
      </c>
      <c r="AE48" s="3">
        <f t="shared" si="14"/>
        <v>41.03</v>
      </c>
      <c r="AF48" s="12">
        <f t="shared" si="15"/>
        <v>1174.7492123287673</v>
      </c>
      <c r="AG48" s="12">
        <f t="shared" si="16"/>
        <v>7.87671232728826E-4</v>
      </c>
      <c r="AH48" s="3">
        <f t="shared" si="17"/>
        <v>0</v>
      </c>
      <c r="AI48" s="12">
        <f t="shared" si="39"/>
        <v>1174.7492123287673</v>
      </c>
      <c r="AJ48" s="12">
        <f t="shared" si="18"/>
        <v>7.87671232728826E-4</v>
      </c>
      <c r="AK48" s="3">
        <f t="shared" si="19"/>
        <v>0</v>
      </c>
      <c r="AL48" s="12">
        <f t="shared" si="20"/>
        <v>1174.7492123287673</v>
      </c>
      <c r="AM48" s="12">
        <f t="shared" si="8"/>
        <v>7.87671232728826E-4</v>
      </c>
      <c r="AN48" s="3">
        <f t="shared" si="21"/>
        <v>0</v>
      </c>
      <c r="AO48" s="12">
        <f t="shared" si="22"/>
        <v>1174.7492123287673</v>
      </c>
      <c r="AP48" s="12">
        <f t="shared" si="23"/>
        <v>7.87671232728826E-4</v>
      </c>
      <c r="AQ48" s="3">
        <f t="shared" si="24"/>
        <v>0</v>
      </c>
      <c r="AR48" s="12">
        <f t="shared" si="25"/>
        <v>1174.7492123287673</v>
      </c>
      <c r="AS48" s="12">
        <f t="shared" si="26"/>
        <v>7.87671232728826E-4</v>
      </c>
      <c r="AT48" s="148" t="s">
        <v>342</v>
      </c>
    </row>
    <row r="49" spans="1:46" s="106" customFormat="1" x14ac:dyDescent="0.25">
      <c r="A49" s="111">
        <v>21</v>
      </c>
      <c r="B49" s="107" t="s">
        <v>244</v>
      </c>
      <c r="C49" s="63">
        <v>103</v>
      </c>
      <c r="D49" s="144" t="s">
        <v>238</v>
      </c>
      <c r="E49" s="59">
        <v>201.46</v>
      </c>
      <c r="F49" s="115">
        <v>0.25</v>
      </c>
      <c r="I49" s="108" t="s">
        <v>205</v>
      </c>
      <c r="J49" s="108" t="s">
        <v>17</v>
      </c>
      <c r="K49" s="116">
        <v>40000114</v>
      </c>
      <c r="L49" s="117" t="str">
        <f t="shared" si="40"/>
        <v>01-01-18</v>
      </c>
      <c r="V49" s="50">
        <f t="shared" si="38"/>
        <v>50.365000000000002</v>
      </c>
      <c r="W49" s="50">
        <f t="shared" si="32"/>
        <v>50.365000000000002</v>
      </c>
      <c r="X49" s="50">
        <f t="shared" si="35"/>
        <v>151.095</v>
      </c>
      <c r="Y49" s="3">
        <f t="shared" si="33"/>
        <v>50.37</v>
      </c>
      <c r="Z49" s="3">
        <f t="shared" si="36"/>
        <v>100.735</v>
      </c>
      <c r="AA49" s="12">
        <f t="shared" si="10"/>
        <v>100.72500000000001</v>
      </c>
      <c r="AB49" s="3">
        <f t="shared" si="11"/>
        <v>50.37</v>
      </c>
      <c r="AC49" s="12">
        <f t="shared" si="12"/>
        <v>151.10499999999999</v>
      </c>
      <c r="AD49" s="12">
        <f t="shared" si="13"/>
        <v>50.355000000000018</v>
      </c>
      <c r="AE49" s="3">
        <f t="shared" si="14"/>
        <v>50.36</v>
      </c>
      <c r="AF49" s="12">
        <f t="shared" si="15"/>
        <v>201.46499999999997</v>
      </c>
      <c r="AG49" s="12">
        <f t="shared" si="16"/>
        <v>-4.9999999999670308E-3</v>
      </c>
      <c r="AH49" s="3">
        <f t="shared" si="17"/>
        <v>0</v>
      </c>
      <c r="AI49" s="12">
        <f t="shared" si="39"/>
        <v>201.46499999999997</v>
      </c>
      <c r="AJ49" s="12">
        <f t="shared" si="18"/>
        <v>-4.9999999999670308E-3</v>
      </c>
      <c r="AK49" s="3">
        <f t="shared" si="19"/>
        <v>0</v>
      </c>
      <c r="AL49" s="12">
        <f t="shared" si="20"/>
        <v>201.46499999999997</v>
      </c>
      <c r="AM49" s="12">
        <f t="shared" si="8"/>
        <v>-4.9999999999670308E-3</v>
      </c>
      <c r="AN49" s="3">
        <f t="shared" si="21"/>
        <v>0</v>
      </c>
      <c r="AO49" s="12">
        <f t="shared" si="22"/>
        <v>201.46499999999997</v>
      </c>
      <c r="AP49" s="12">
        <f t="shared" si="23"/>
        <v>-4.9999999999670308E-3</v>
      </c>
      <c r="AQ49" s="3">
        <f t="shared" si="24"/>
        <v>0</v>
      </c>
      <c r="AR49" s="12">
        <f t="shared" si="25"/>
        <v>201.46499999999997</v>
      </c>
      <c r="AS49" s="12">
        <f t="shared" si="26"/>
        <v>-4.9999999999670308E-3</v>
      </c>
      <c r="AT49" s="151" t="s">
        <v>342</v>
      </c>
    </row>
    <row r="50" spans="1:46" s="106" customFormat="1" x14ac:dyDescent="0.25">
      <c r="A50" s="111">
        <v>22</v>
      </c>
      <c r="B50" s="107" t="s">
        <v>244</v>
      </c>
      <c r="C50" s="106">
        <v>104</v>
      </c>
      <c r="D50" s="144" t="s">
        <v>238</v>
      </c>
      <c r="E50" s="102">
        <v>201.46</v>
      </c>
      <c r="F50" s="115">
        <v>0.25</v>
      </c>
      <c r="I50" s="108" t="s">
        <v>205</v>
      </c>
      <c r="J50" s="108" t="s">
        <v>17</v>
      </c>
      <c r="K50" s="116">
        <v>40000114</v>
      </c>
      <c r="L50" s="117" t="str">
        <f t="shared" si="40"/>
        <v>01-01-18</v>
      </c>
      <c r="V50" s="50">
        <f t="shared" si="38"/>
        <v>50.365000000000002</v>
      </c>
      <c r="W50" s="50">
        <f t="shared" si="32"/>
        <v>50.365000000000002</v>
      </c>
      <c r="X50" s="50">
        <f t="shared" si="35"/>
        <v>151.095</v>
      </c>
      <c r="Y50" s="3">
        <f t="shared" si="33"/>
        <v>50.37</v>
      </c>
      <c r="Z50" s="3">
        <f t="shared" si="36"/>
        <v>100.735</v>
      </c>
      <c r="AA50" s="12">
        <f t="shared" si="10"/>
        <v>100.72500000000001</v>
      </c>
      <c r="AB50" s="3">
        <f t="shared" si="11"/>
        <v>50.37</v>
      </c>
      <c r="AC50" s="12">
        <f t="shared" si="12"/>
        <v>151.10499999999999</v>
      </c>
      <c r="AD50" s="12">
        <f t="shared" si="13"/>
        <v>50.355000000000018</v>
      </c>
      <c r="AE50" s="3">
        <f t="shared" si="14"/>
        <v>50.36</v>
      </c>
      <c r="AF50" s="12">
        <f t="shared" si="15"/>
        <v>201.46499999999997</v>
      </c>
      <c r="AG50" s="12">
        <f t="shared" si="16"/>
        <v>-4.9999999999670308E-3</v>
      </c>
      <c r="AH50" s="3">
        <f t="shared" si="17"/>
        <v>0</v>
      </c>
      <c r="AI50" s="12">
        <f t="shared" si="39"/>
        <v>201.46499999999997</v>
      </c>
      <c r="AJ50" s="12">
        <f t="shared" si="18"/>
        <v>-4.9999999999670308E-3</v>
      </c>
      <c r="AK50" s="3">
        <f t="shared" si="19"/>
        <v>0</v>
      </c>
      <c r="AL50" s="12">
        <f t="shared" si="20"/>
        <v>201.46499999999997</v>
      </c>
      <c r="AM50" s="12">
        <f>E50-AL50</f>
        <v>-4.9999999999670308E-3</v>
      </c>
      <c r="AN50" s="3">
        <f t="shared" si="21"/>
        <v>0</v>
      </c>
      <c r="AO50" s="12">
        <f t="shared" si="22"/>
        <v>201.46499999999997</v>
      </c>
      <c r="AP50" s="12">
        <f t="shared" si="23"/>
        <v>-4.9999999999670308E-3</v>
      </c>
      <c r="AQ50" s="3">
        <f t="shared" si="24"/>
        <v>0</v>
      </c>
      <c r="AR50" s="12">
        <f t="shared" si="25"/>
        <v>201.46499999999997</v>
      </c>
      <c r="AS50" s="12">
        <f t="shared" si="26"/>
        <v>-4.9999999999670308E-3</v>
      </c>
      <c r="AT50" s="151" t="s">
        <v>345</v>
      </c>
    </row>
    <row r="51" spans="1:46" s="106" customFormat="1" x14ac:dyDescent="0.25">
      <c r="A51" s="111">
        <v>286</v>
      </c>
      <c r="B51" s="107" t="s">
        <v>260</v>
      </c>
      <c r="C51" s="106">
        <v>132</v>
      </c>
      <c r="D51" s="145" t="s">
        <v>239</v>
      </c>
      <c r="E51" s="102">
        <v>1450.9</v>
      </c>
      <c r="F51" s="115">
        <v>0.25</v>
      </c>
      <c r="I51" s="108" t="s">
        <v>205</v>
      </c>
      <c r="J51" s="108" t="s">
        <v>17</v>
      </c>
      <c r="K51" s="116">
        <v>40000116</v>
      </c>
      <c r="L51" s="117" t="str">
        <f t="shared" si="40"/>
        <v>18-05-18</v>
      </c>
      <c r="V51" s="50">
        <f>(E51*F51)/12*7.5</f>
        <v>226.70312500000003</v>
      </c>
      <c r="W51" s="50">
        <f t="shared" si="32"/>
        <v>226.70312500000003</v>
      </c>
      <c r="X51" s="50">
        <f t="shared" si="35"/>
        <v>1224.1968750000001</v>
      </c>
      <c r="Y51" s="3">
        <f t="shared" si="33"/>
        <v>362.73</v>
      </c>
      <c r="Z51" s="3">
        <f t="shared" si="36"/>
        <v>589.43312500000002</v>
      </c>
      <c r="AA51" s="12">
        <f t="shared" si="10"/>
        <v>861.46687500000007</v>
      </c>
      <c r="AB51" s="3">
        <f t="shared" si="11"/>
        <v>362.73</v>
      </c>
      <c r="AC51" s="12">
        <f t="shared" si="12"/>
        <v>952.16312500000004</v>
      </c>
      <c r="AD51" s="12">
        <f t="shared" si="13"/>
        <v>498.73687500000005</v>
      </c>
      <c r="AE51" s="3">
        <f t="shared" si="14"/>
        <v>362.73</v>
      </c>
      <c r="AF51" s="12">
        <f t="shared" si="15"/>
        <v>1314.8931250000001</v>
      </c>
      <c r="AG51" s="12">
        <f t="shared" si="16"/>
        <v>136.00687500000004</v>
      </c>
      <c r="AH51" s="3">
        <f t="shared" si="17"/>
        <v>136.01</v>
      </c>
      <c r="AI51" s="12">
        <f t="shared" si="39"/>
        <v>1450.903125</v>
      </c>
      <c r="AJ51" s="12">
        <f t="shared" si="18"/>
        <v>-3.1249999999545253E-3</v>
      </c>
      <c r="AK51" s="3">
        <f t="shared" si="19"/>
        <v>0</v>
      </c>
      <c r="AL51" s="12">
        <f t="shared" si="20"/>
        <v>1450.903125</v>
      </c>
      <c r="AM51" s="12">
        <f t="shared" ref="AM51:AM65" si="41">E51-AL51</f>
        <v>-3.1249999999545253E-3</v>
      </c>
      <c r="AN51" s="3">
        <f t="shared" si="21"/>
        <v>0</v>
      </c>
      <c r="AO51" s="12">
        <f t="shared" si="22"/>
        <v>1450.903125</v>
      </c>
      <c r="AP51" s="12">
        <f t="shared" si="23"/>
        <v>-3.1249999999545253E-3</v>
      </c>
      <c r="AQ51" s="3">
        <f t="shared" si="24"/>
        <v>0</v>
      </c>
      <c r="AR51" s="12">
        <f t="shared" si="25"/>
        <v>1450.903125</v>
      </c>
      <c r="AS51" s="12">
        <f t="shared" si="26"/>
        <v>-3.1249999999545253E-3</v>
      </c>
      <c r="AT51" s="151"/>
    </row>
    <row r="52" spans="1:46" s="106" customFormat="1" x14ac:dyDescent="0.25">
      <c r="A52" s="111">
        <v>726</v>
      </c>
      <c r="B52" s="107" t="s">
        <v>259</v>
      </c>
      <c r="C52" s="106">
        <v>128</v>
      </c>
      <c r="D52" s="145" t="s">
        <v>240</v>
      </c>
      <c r="E52" s="102">
        <v>175.29</v>
      </c>
      <c r="F52" s="115">
        <v>0.25</v>
      </c>
      <c r="I52" s="108" t="s">
        <v>205</v>
      </c>
      <c r="J52" s="108" t="s">
        <v>17</v>
      </c>
      <c r="K52" s="116">
        <v>40000114</v>
      </c>
      <c r="L52" s="117" t="str">
        <f t="shared" si="40"/>
        <v>25-10-18</v>
      </c>
      <c r="V52" s="50">
        <f>(E52*F52)/12*2</f>
        <v>7.30375</v>
      </c>
      <c r="W52" s="50">
        <f t="shared" si="32"/>
        <v>7.30375</v>
      </c>
      <c r="X52" s="50">
        <f t="shared" si="35"/>
        <v>167.98624999999998</v>
      </c>
      <c r="Y52" s="3">
        <f t="shared" si="33"/>
        <v>43.82</v>
      </c>
      <c r="Z52" s="3">
        <f t="shared" si="36"/>
        <v>51.123750000000001</v>
      </c>
      <c r="AA52" s="12">
        <f t="shared" si="10"/>
        <v>124.16624999999999</v>
      </c>
      <c r="AB52" s="3">
        <f t="shared" si="11"/>
        <v>43.82</v>
      </c>
      <c r="AC52" s="12">
        <f t="shared" si="12"/>
        <v>94.943749999999994</v>
      </c>
      <c r="AD52" s="12">
        <f t="shared" si="13"/>
        <v>80.346249999999998</v>
      </c>
      <c r="AE52" s="3">
        <f t="shared" si="14"/>
        <v>43.82</v>
      </c>
      <c r="AF52" s="12">
        <f t="shared" si="15"/>
        <v>138.76374999999999</v>
      </c>
      <c r="AG52" s="12">
        <f t="shared" si="16"/>
        <v>36.526250000000005</v>
      </c>
      <c r="AH52" s="3">
        <f t="shared" si="17"/>
        <v>36.53</v>
      </c>
      <c r="AI52" s="12">
        <f t="shared" si="39"/>
        <v>175.29374999999999</v>
      </c>
      <c r="AJ52" s="12">
        <f t="shared" si="18"/>
        <v>-3.7499999999965894E-3</v>
      </c>
      <c r="AK52" s="3">
        <f t="shared" si="19"/>
        <v>0</v>
      </c>
      <c r="AL52" s="12">
        <f t="shared" si="20"/>
        <v>175.29374999999999</v>
      </c>
      <c r="AM52" s="12">
        <f t="shared" si="41"/>
        <v>-3.7499999999965894E-3</v>
      </c>
      <c r="AN52" s="3">
        <f t="shared" si="21"/>
        <v>0</v>
      </c>
      <c r="AO52" s="12">
        <f t="shared" si="22"/>
        <v>175.29374999999999</v>
      </c>
      <c r="AP52" s="12">
        <f t="shared" si="23"/>
        <v>-3.7499999999965894E-3</v>
      </c>
      <c r="AQ52" s="3">
        <f t="shared" si="24"/>
        <v>0</v>
      </c>
      <c r="AR52" s="12">
        <f t="shared" si="25"/>
        <v>175.29374999999999</v>
      </c>
      <c r="AS52" s="12">
        <f t="shared" si="26"/>
        <v>-3.7499999999965894E-3</v>
      </c>
      <c r="AT52" s="151" t="s">
        <v>345</v>
      </c>
    </row>
    <row r="53" spans="1:46" s="106" customFormat="1" x14ac:dyDescent="0.25">
      <c r="A53" s="111">
        <v>775</v>
      </c>
      <c r="B53" s="109" t="s">
        <v>256</v>
      </c>
      <c r="C53" s="106">
        <v>121</v>
      </c>
      <c r="D53" s="144" t="s">
        <v>241</v>
      </c>
      <c r="E53" s="110">
        <v>1306.27</v>
      </c>
      <c r="F53" s="115">
        <v>0.25</v>
      </c>
      <c r="I53" s="108" t="s">
        <v>205</v>
      </c>
      <c r="J53" s="108" t="s">
        <v>17</v>
      </c>
      <c r="K53" s="118">
        <v>40000107</v>
      </c>
      <c r="L53" s="117" t="str">
        <f t="shared" si="40"/>
        <v>24-11-18</v>
      </c>
      <c r="V53" s="50">
        <f>(E53*F53)/12*1</f>
        <v>27.213958333333334</v>
      </c>
      <c r="W53" s="50">
        <f t="shared" si="32"/>
        <v>27.213958333333334</v>
      </c>
      <c r="X53" s="50">
        <f t="shared" si="35"/>
        <v>1279.0560416666667</v>
      </c>
      <c r="Y53" s="3">
        <f t="shared" si="33"/>
        <v>326.57</v>
      </c>
      <c r="Z53" s="3">
        <f t="shared" si="36"/>
        <v>353.78395833333332</v>
      </c>
      <c r="AA53" s="12">
        <f t="shared" si="10"/>
        <v>952.48604166666667</v>
      </c>
      <c r="AB53" s="3">
        <f t="shared" si="11"/>
        <v>326.57</v>
      </c>
      <c r="AC53" s="12">
        <f t="shared" si="12"/>
        <v>680.35395833333337</v>
      </c>
      <c r="AD53" s="12">
        <f t="shared" si="13"/>
        <v>625.91604166666662</v>
      </c>
      <c r="AE53" s="3">
        <f t="shared" si="14"/>
        <v>326.57</v>
      </c>
      <c r="AF53" s="12">
        <f t="shared" si="15"/>
        <v>1006.9239583333333</v>
      </c>
      <c r="AG53" s="12">
        <f t="shared" si="16"/>
        <v>299.34604166666668</v>
      </c>
      <c r="AH53" s="3">
        <f t="shared" si="17"/>
        <v>299.35000000000002</v>
      </c>
      <c r="AI53" s="12">
        <f t="shared" si="39"/>
        <v>1306.2739583333332</v>
      </c>
      <c r="AJ53" s="12">
        <f t="shared" si="18"/>
        <v>-3.9583333332302573E-3</v>
      </c>
      <c r="AK53" s="3">
        <f t="shared" si="19"/>
        <v>0</v>
      </c>
      <c r="AL53" s="12">
        <f t="shared" si="20"/>
        <v>1306.2739583333332</v>
      </c>
      <c r="AM53" s="12">
        <f t="shared" si="41"/>
        <v>-3.9583333332302573E-3</v>
      </c>
      <c r="AN53" s="3">
        <f t="shared" si="21"/>
        <v>0</v>
      </c>
      <c r="AO53" s="12">
        <f t="shared" si="22"/>
        <v>1306.2739583333332</v>
      </c>
      <c r="AP53" s="12">
        <f t="shared" si="23"/>
        <v>-3.9583333332302573E-3</v>
      </c>
      <c r="AQ53" s="3">
        <f t="shared" si="24"/>
        <v>0</v>
      </c>
      <c r="AR53" s="12">
        <f t="shared" si="25"/>
        <v>1306.2739583333332</v>
      </c>
      <c r="AS53" s="12">
        <f t="shared" si="26"/>
        <v>-3.9583333332302573E-3</v>
      </c>
      <c r="AT53" s="151" t="s">
        <v>345</v>
      </c>
    </row>
    <row r="54" spans="1:46" s="106" customFormat="1" x14ac:dyDescent="0.25">
      <c r="A54" s="111">
        <v>775</v>
      </c>
      <c r="B54" s="109" t="s">
        <v>257</v>
      </c>
      <c r="C54" s="106">
        <v>126</v>
      </c>
      <c r="D54" s="144" t="s">
        <v>241</v>
      </c>
      <c r="E54" s="110">
        <v>73.64</v>
      </c>
      <c r="F54" s="115">
        <v>0.25</v>
      </c>
      <c r="I54" s="108" t="s">
        <v>205</v>
      </c>
      <c r="J54" s="108" t="s">
        <v>17</v>
      </c>
      <c r="K54" s="118">
        <v>40000107</v>
      </c>
      <c r="L54" s="117" t="str">
        <f t="shared" ref="L54:L55" si="42">D54</f>
        <v>24-11-18</v>
      </c>
      <c r="V54" s="50">
        <f t="shared" ref="V54:V55" si="43">(E54*F54)/12*1</f>
        <v>1.5341666666666667</v>
      </c>
      <c r="W54" s="50">
        <f t="shared" ref="W54:W55" si="44">T54+V54</f>
        <v>1.5341666666666667</v>
      </c>
      <c r="X54" s="50">
        <f t="shared" ref="X54:X55" si="45">E54-W54</f>
        <v>72.105833333333337</v>
      </c>
      <c r="Y54" s="3">
        <f t="shared" si="33"/>
        <v>18.41</v>
      </c>
      <c r="Z54" s="3">
        <f t="shared" si="36"/>
        <v>19.944166666666668</v>
      </c>
      <c r="AA54" s="12">
        <f t="shared" si="10"/>
        <v>53.695833333333333</v>
      </c>
      <c r="AB54" s="3">
        <f t="shared" si="11"/>
        <v>18.41</v>
      </c>
      <c r="AC54" s="12">
        <f t="shared" si="12"/>
        <v>38.354166666666671</v>
      </c>
      <c r="AD54" s="12">
        <f t="shared" si="13"/>
        <v>35.285833333333329</v>
      </c>
      <c r="AE54" s="3">
        <f t="shared" si="14"/>
        <v>18.41</v>
      </c>
      <c r="AF54" s="12">
        <f t="shared" si="15"/>
        <v>56.764166666666668</v>
      </c>
      <c r="AG54" s="12">
        <f t="shared" si="16"/>
        <v>16.875833333333333</v>
      </c>
      <c r="AH54" s="3">
        <f t="shared" si="17"/>
        <v>16.88</v>
      </c>
      <c r="AI54" s="12">
        <f t="shared" si="39"/>
        <v>73.644166666666663</v>
      </c>
      <c r="AJ54" s="12">
        <f t="shared" si="18"/>
        <v>-4.1666666666628771E-3</v>
      </c>
      <c r="AK54" s="3">
        <f t="shared" si="19"/>
        <v>0</v>
      </c>
      <c r="AL54" s="12">
        <f t="shared" si="20"/>
        <v>73.644166666666663</v>
      </c>
      <c r="AM54" s="12">
        <f t="shared" si="41"/>
        <v>-4.1666666666628771E-3</v>
      </c>
      <c r="AN54" s="3">
        <f t="shared" si="21"/>
        <v>0</v>
      </c>
      <c r="AO54" s="12">
        <f t="shared" si="22"/>
        <v>73.644166666666663</v>
      </c>
      <c r="AP54" s="12">
        <f t="shared" si="23"/>
        <v>-4.1666666666628771E-3</v>
      </c>
      <c r="AQ54" s="3">
        <f t="shared" si="24"/>
        <v>0</v>
      </c>
      <c r="AR54" s="12">
        <f t="shared" si="25"/>
        <v>73.644166666666663</v>
      </c>
      <c r="AS54" s="12">
        <f t="shared" si="26"/>
        <v>-4.1666666666628771E-3</v>
      </c>
      <c r="AT54" s="151" t="s">
        <v>345</v>
      </c>
    </row>
    <row r="55" spans="1:46" s="106" customFormat="1" x14ac:dyDescent="0.25">
      <c r="A55" s="111">
        <v>775</v>
      </c>
      <c r="B55" s="109" t="s">
        <v>258</v>
      </c>
      <c r="C55" s="106">
        <v>127</v>
      </c>
      <c r="D55" s="144" t="s">
        <v>241</v>
      </c>
      <c r="E55" s="110">
        <v>63.22</v>
      </c>
      <c r="F55" s="115">
        <v>0.25</v>
      </c>
      <c r="I55" s="108" t="s">
        <v>205</v>
      </c>
      <c r="J55" s="108" t="s">
        <v>17</v>
      </c>
      <c r="K55" s="118">
        <v>40000107</v>
      </c>
      <c r="L55" s="117" t="str">
        <f t="shared" si="42"/>
        <v>24-11-18</v>
      </c>
      <c r="V55" s="50">
        <f t="shared" si="43"/>
        <v>1.3170833333333334</v>
      </c>
      <c r="W55" s="50">
        <f t="shared" si="44"/>
        <v>1.3170833333333334</v>
      </c>
      <c r="X55" s="50">
        <f t="shared" si="45"/>
        <v>61.902916666666663</v>
      </c>
      <c r="Y55" s="3">
        <f t="shared" si="33"/>
        <v>15.81</v>
      </c>
      <c r="Z55" s="3">
        <f t="shared" si="36"/>
        <v>17.127083333333335</v>
      </c>
      <c r="AA55" s="12">
        <f t="shared" si="10"/>
        <v>46.092916666666667</v>
      </c>
      <c r="AB55" s="3">
        <f t="shared" si="11"/>
        <v>15.81</v>
      </c>
      <c r="AC55" s="12">
        <f t="shared" si="12"/>
        <v>32.937083333333334</v>
      </c>
      <c r="AD55" s="12">
        <f t="shared" si="13"/>
        <v>30.282916666666665</v>
      </c>
      <c r="AE55" s="3">
        <f t="shared" si="14"/>
        <v>15.81</v>
      </c>
      <c r="AF55" s="12">
        <f t="shared" si="15"/>
        <v>48.747083333333336</v>
      </c>
      <c r="AG55" s="12">
        <f t="shared" si="16"/>
        <v>14.472916666666663</v>
      </c>
      <c r="AH55" s="3">
        <f t="shared" si="17"/>
        <v>14.47</v>
      </c>
      <c r="AI55" s="12">
        <f t="shared" si="39"/>
        <v>63.217083333333335</v>
      </c>
      <c r="AJ55" s="12">
        <f t="shared" si="18"/>
        <v>2.916666666664014E-3</v>
      </c>
      <c r="AK55" s="3">
        <f t="shared" si="19"/>
        <v>0</v>
      </c>
      <c r="AL55" s="12">
        <f t="shared" si="20"/>
        <v>63.217083333333335</v>
      </c>
      <c r="AM55" s="12">
        <f t="shared" si="41"/>
        <v>2.916666666664014E-3</v>
      </c>
      <c r="AN55" s="3">
        <f t="shared" si="21"/>
        <v>0</v>
      </c>
      <c r="AO55" s="12">
        <f t="shared" si="22"/>
        <v>63.217083333333335</v>
      </c>
      <c r="AP55" s="12">
        <f t="shared" si="23"/>
        <v>2.916666666664014E-3</v>
      </c>
      <c r="AQ55" s="3">
        <f t="shared" si="24"/>
        <v>0</v>
      </c>
      <c r="AR55" s="12">
        <f t="shared" si="25"/>
        <v>63.217083333333335</v>
      </c>
      <c r="AS55" s="12">
        <f t="shared" si="26"/>
        <v>2.916666666664014E-3</v>
      </c>
      <c r="AT55" s="151" t="s">
        <v>345</v>
      </c>
    </row>
    <row r="56" spans="1:46" x14ac:dyDescent="0.25">
      <c r="B56" s="109" t="s">
        <v>293</v>
      </c>
      <c r="C56" s="106">
        <v>138</v>
      </c>
      <c r="D56" s="144" t="s">
        <v>294</v>
      </c>
      <c r="E56" s="110">
        <v>157.02000000000001</v>
      </c>
      <c r="F56" s="115">
        <v>1</v>
      </c>
      <c r="G56" s="106"/>
      <c r="H56" s="106"/>
      <c r="I56" s="108" t="s">
        <v>295</v>
      </c>
      <c r="J56" s="108" t="s">
        <v>296</v>
      </c>
      <c r="K56" s="118">
        <v>40000114</v>
      </c>
      <c r="L56" s="135">
        <v>43466</v>
      </c>
      <c r="Y56" s="3">
        <f t="shared" si="33"/>
        <v>157.02000000000001</v>
      </c>
      <c r="Z56" s="3">
        <f t="shared" ref="Z56:Z57" si="46">W56+Y56</f>
        <v>157.02000000000001</v>
      </c>
      <c r="AA56" s="12">
        <f t="shared" si="10"/>
        <v>0</v>
      </c>
      <c r="AB56" s="3">
        <f t="shared" si="11"/>
        <v>0</v>
      </c>
      <c r="AC56" s="12">
        <f t="shared" si="12"/>
        <v>157.02000000000001</v>
      </c>
      <c r="AD56" s="12">
        <f t="shared" si="13"/>
        <v>0</v>
      </c>
      <c r="AE56" s="3">
        <f t="shared" si="14"/>
        <v>0</v>
      </c>
      <c r="AF56" s="12">
        <f t="shared" si="15"/>
        <v>157.02000000000001</v>
      </c>
      <c r="AG56" s="12">
        <f t="shared" si="16"/>
        <v>0</v>
      </c>
      <c r="AH56" s="3">
        <f t="shared" si="17"/>
        <v>0</v>
      </c>
      <c r="AI56" s="12">
        <f t="shared" si="39"/>
        <v>157.02000000000001</v>
      </c>
      <c r="AJ56" s="12">
        <f t="shared" si="18"/>
        <v>0</v>
      </c>
      <c r="AK56" s="3">
        <f t="shared" si="19"/>
        <v>0</v>
      </c>
      <c r="AL56" s="12">
        <f t="shared" si="20"/>
        <v>157.02000000000001</v>
      </c>
      <c r="AM56" s="12">
        <f t="shared" si="41"/>
        <v>0</v>
      </c>
      <c r="AN56" s="3">
        <f t="shared" si="21"/>
        <v>0</v>
      </c>
      <c r="AO56" s="12">
        <f t="shared" si="22"/>
        <v>157.02000000000001</v>
      </c>
      <c r="AP56" s="12">
        <f t="shared" si="23"/>
        <v>0</v>
      </c>
      <c r="AQ56" s="3">
        <f t="shared" si="24"/>
        <v>0</v>
      </c>
      <c r="AR56" s="12">
        <f t="shared" si="25"/>
        <v>157.02000000000001</v>
      </c>
      <c r="AS56" s="12">
        <f t="shared" si="26"/>
        <v>0</v>
      </c>
      <c r="AT56" s="148" t="s">
        <v>345</v>
      </c>
    </row>
    <row r="57" spans="1:46" x14ac:dyDescent="0.25">
      <c r="B57" s="109" t="s">
        <v>293</v>
      </c>
      <c r="C57" s="106">
        <v>139</v>
      </c>
      <c r="D57" s="144" t="s">
        <v>294</v>
      </c>
      <c r="E57" s="110">
        <v>157.02000000000001</v>
      </c>
      <c r="F57" s="115">
        <v>1</v>
      </c>
      <c r="G57" s="106"/>
      <c r="H57" s="106"/>
      <c r="I57" s="108" t="s">
        <v>297</v>
      </c>
      <c r="J57" s="108" t="s">
        <v>298</v>
      </c>
      <c r="K57" s="118">
        <v>40000114</v>
      </c>
      <c r="L57" s="135">
        <v>43466</v>
      </c>
      <c r="Y57" s="3">
        <f t="shared" si="33"/>
        <v>157.02000000000001</v>
      </c>
      <c r="Z57" s="3">
        <f t="shared" si="46"/>
        <v>157.02000000000001</v>
      </c>
      <c r="AA57" s="12">
        <f t="shared" si="10"/>
        <v>0</v>
      </c>
      <c r="AB57" s="3">
        <f t="shared" si="11"/>
        <v>0</v>
      </c>
      <c r="AC57" s="12">
        <f t="shared" si="12"/>
        <v>157.02000000000001</v>
      </c>
      <c r="AD57" s="12">
        <f t="shared" si="13"/>
        <v>0</v>
      </c>
      <c r="AE57" s="3">
        <f t="shared" si="14"/>
        <v>0</v>
      </c>
      <c r="AF57" s="12">
        <f t="shared" si="15"/>
        <v>157.02000000000001</v>
      </c>
      <c r="AG57" s="12">
        <f t="shared" si="16"/>
        <v>0</v>
      </c>
      <c r="AH57" s="3">
        <f t="shared" si="17"/>
        <v>0</v>
      </c>
      <c r="AI57" s="12">
        <f t="shared" si="39"/>
        <v>157.02000000000001</v>
      </c>
      <c r="AJ57" s="12">
        <f t="shared" si="18"/>
        <v>0</v>
      </c>
      <c r="AK57" s="3">
        <f t="shared" si="19"/>
        <v>0</v>
      </c>
      <c r="AL57" s="12">
        <f t="shared" si="20"/>
        <v>157.02000000000001</v>
      </c>
      <c r="AM57" s="12">
        <f t="shared" si="41"/>
        <v>0</v>
      </c>
      <c r="AN57" s="3">
        <f t="shared" si="21"/>
        <v>0</v>
      </c>
      <c r="AO57" s="12">
        <f t="shared" si="22"/>
        <v>157.02000000000001</v>
      </c>
      <c r="AP57" s="12">
        <f t="shared" si="23"/>
        <v>0</v>
      </c>
      <c r="AQ57" s="3">
        <f t="shared" si="24"/>
        <v>0</v>
      </c>
      <c r="AR57" s="12">
        <f t="shared" si="25"/>
        <v>157.02000000000001</v>
      </c>
      <c r="AS57" s="12">
        <f t="shared" si="26"/>
        <v>0</v>
      </c>
      <c r="AT57" s="148" t="s">
        <v>345</v>
      </c>
    </row>
    <row r="58" spans="1:46" x14ac:dyDescent="0.25">
      <c r="B58" s="109" t="s">
        <v>307</v>
      </c>
      <c r="C58" s="63">
        <v>140</v>
      </c>
      <c r="D58" s="144" t="s">
        <v>308</v>
      </c>
      <c r="E58" s="157">
        <v>1590.08</v>
      </c>
      <c r="F58" s="115">
        <v>0.25</v>
      </c>
      <c r="G58" s="106"/>
      <c r="H58" s="106"/>
      <c r="I58" s="108"/>
      <c r="J58" s="108"/>
      <c r="K58" s="118"/>
      <c r="L58" s="135"/>
      <c r="Y58" s="3"/>
      <c r="Z58" s="3"/>
      <c r="AA58" s="12"/>
      <c r="AB58" s="3"/>
      <c r="AC58" s="12"/>
      <c r="AD58" s="12">
        <f t="shared" si="13"/>
        <v>1590.08</v>
      </c>
      <c r="AE58" s="3">
        <f t="shared" si="14"/>
        <v>397.52</v>
      </c>
      <c r="AF58" s="12">
        <f t="shared" si="15"/>
        <v>397.52</v>
      </c>
      <c r="AG58" s="12">
        <f t="shared" si="16"/>
        <v>1192.56</v>
      </c>
      <c r="AH58" s="3">
        <f t="shared" si="17"/>
        <v>397.52</v>
      </c>
      <c r="AI58" s="12">
        <f t="shared" si="39"/>
        <v>795.04</v>
      </c>
      <c r="AJ58" s="12">
        <f t="shared" si="18"/>
        <v>795.04</v>
      </c>
      <c r="AK58" s="3">
        <f t="shared" si="19"/>
        <v>397.52</v>
      </c>
      <c r="AL58" s="12">
        <f t="shared" si="20"/>
        <v>1192.56</v>
      </c>
      <c r="AM58" s="12">
        <f t="shared" si="41"/>
        <v>397.52</v>
      </c>
      <c r="AN58" s="3">
        <f t="shared" si="21"/>
        <v>397.52</v>
      </c>
      <c r="AO58" s="12">
        <f t="shared" si="22"/>
        <v>1590.08</v>
      </c>
      <c r="AP58" s="12">
        <f t="shared" si="23"/>
        <v>0</v>
      </c>
      <c r="AQ58" s="3">
        <f t="shared" si="24"/>
        <v>0</v>
      </c>
      <c r="AR58" s="12">
        <f t="shared" si="25"/>
        <v>1590.08</v>
      </c>
      <c r="AS58" s="12">
        <f t="shared" si="26"/>
        <v>0</v>
      </c>
      <c r="AT58" s="147" t="s">
        <v>349</v>
      </c>
    </row>
    <row r="59" spans="1:46" x14ac:dyDescent="0.25">
      <c r="B59" s="109" t="s">
        <v>309</v>
      </c>
      <c r="C59" s="63">
        <v>141</v>
      </c>
      <c r="D59" s="144" t="s">
        <v>310</v>
      </c>
      <c r="E59" s="157">
        <v>419.44</v>
      </c>
      <c r="F59" s="115">
        <v>0.25</v>
      </c>
      <c r="G59" s="106"/>
      <c r="H59" s="106"/>
      <c r="I59" s="108"/>
      <c r="J59" s="108"/>
      <c r="K59" s="118"/>
      <c r="L59" s="135"/>
      <c r="Y59" s="3"/>
      <c r="Z59" s="3"/>
      <c r="AA59" s="12"/>
      <c r="AB59" s="3"/>
      <c r="AC59" s="12"/>
      <c r="AD59" s="12"/>
      <c r="AE59" s="3">
        <f>ROUND(IF(((E59*F59)+AC59)&gt;E59,AD59,(E59*F59)),2)*263/365</f>
        <v>75.556657534246582</v>
      </c>
      <c r="AF59" s="12">
        <f t="shared" si="15"/>
        <v>75.556657534246582</v>
      </c>
      <c r="AG59" s="12">
        <f t="shared" si="16"/>
        <v>343.8833424657534</v>
      </c>
      <c r="AH59" s="3">
        <f t="shared" si="17"/>
        <v>104.86</v>
      </c>
      <c r="AI59" s="12">
        <f t="shared" si="39"/>
        <v>180.41665753424658</v>
      </c>
      <c r="AJ59" s="12">
        <f t="shared" si="18"/>
        <v>239.02334246575342</v>
      </c>
      <c r="AK59" s="3">
        <f t="shared" si="19"/>
        <v>104.86</v>
      </c>
      <c r="AL59" s="12">
        <f t="shared" si="20"/>
        <v>285.27665753424657</v>
      </c>
      <c r="AM59" s="12">
        <f t="shared" si="41"/>
        <v>134.16334246575343</v>
      </c>
      <c r="AN59" s="3">
        <f t="shared" si="21"/>
        <v>104.86</v>
      </c>
      <c r="AO59" s="12">
        <f t="shared" si="22"/>
        <v>390.13665753424658</v>
      </c>
      <c r="AP59" s="12">
        <f t="shared" si="23"/>
        <v>29.303342465753417</v>
      </c>
      <c r="AQ59" s="62">
        <f t="shared" si="24"/>
        <v>29.3</v>
      </c>
      <c r="AR59" s="12">
        <f t="shared" si="25"/>
        <v>419.43665753424659</v>
      </c>
      <c r="AS59" s="12">
        <f t="shared" si="26"/>
        <v>3.3424657534055768E-3</v>
      </c>
      <c r="AT59" s="147" t="s">
        <v>348</v>
      </c>
    </row>
    <row r="60" spans="1:46" x14ac:dyDescent="0.25">
      <c r="B60" s="109" t="s">
        <v>311</v>
      </c>
      <c r="C60" s="63">
        <v>142</v>
      </c>
      <c r="D60" s="144" t="s">
        <v>313</v>
      </c>
      <c r="E60" s="157">
        <v>1759.5</v>
      </c>
      <c r="F60" s="115">
        <v>0.25</v>
      </c>
      <c r="G60" s="106"/>
      <c r="H60" s="106"/>
      <c r="I60" s="108"/>
      <c r="J60" s="108"/>
      <c r="K60" s="118"/>
      <c r="L60" s="135"/>
      <c r="Y60" s="3"/>
      <c r="Z60" s="3"/>
      <c r="AA60" s="12"/>
      <c r="AB60" s="3"/>
      <c r="AC60" s="12"/>
      <c r="AD60" s="12"/>
      <c r="AE60" s="3">
        <f>ROUND(IF(((E60*F60)+AC60)&gt;E60,AD60,(E60*F60)),2)*127/365</f>
        <v>153.05413698630139</v>
      </c>
      <c r="AF60" s="12">
        <f t="shared" si="15"/>
        <v>153.05413698630139</v>
      </c>
      <c r="AG60" s="12">
        <f t="shared" si="16"/>
        <v>1606.4458630136987</v>
      </c>
      <c r="AH60" s="3">
        <f t="shared" si="17"/>
        <v>439.88</v>
      </c>
      <c r="AI60" s="12">
        <f t="shared" si="39"/>
        <v>592.93413698630138</v>
      </c>
      <c r="AJ60" s="12">
        <f t="shared" si="18"/>
        <v>1166.5658630136986</v>
      </c>
      <c r="AK60" s="3">
        <f t="shared" si="19"/>
        <v>439.88</v>
      </c>
      <c r="AL60" s="12">
        <f t="shared" si="20"/>
        <v>1032.8141369863015</v>
      </c>
      <c r="AM60" s="12">
        <f t="shared" si="41"/>
        <v>726.68586301369851</v>
      </c>
      <c r="AN60" s="3">
        <f t="shared" si="21"/>
        <v>439.88</v>
      </c>
      <c r="AO60" s="12">
        <f t="shared" si="22"/>
        <v>1472.6941369863016</v>
      </c>
      <c r="AP60" s="12">
        <f t="shared" si="23"/>
        <v>286.8058630136984</v>
      </c>
      <c r="AQ60" s="62">
        <f t="shared" si="24"/>
        <v>286.81</v>
      </c>
      <c r="AR60" s="12">
        <f t="shared" si="25"/>
        <v>1759.5041369863015</v>
      </c>
      <c r="AS60" s="12">
        <f t="shared" si="26"/>
        <v>-4.1369863015461306E-3</v>
      </c>
      <c r="AT60" s="147" t="s">
        <v>347</v>
      </c>
    </row>
    <row r="61" spans="1:46" x14ac:dyDescent="0.25">
      <c r="A61" s="1"/>
      <c r="B61" s="109" t="s">
        <v>312</v>
      </c>
      <c r="C61" s="106">
        <v>143</v>
      </c>
      <c r="D61" s="144" t="s">
        <v>314</v>
      </c>
      <c r="E61" s="110">
        <v>305.77999999999997</v>
      </c>
      <c r="F61" s="115">
        <v>0.25</v>
      </c>
      <c r="G61" s="2"/>
      <c r="H61" s="1"/>
      <c r="I61" s="1"/>
      <c r="J61" s="1"/>
      <c r="K61" s="1"/>
      <c r="L61" s="4"/>
      <c r="M61" s="1"/>
      <c r="N61" s="1"/>
      <c r="O61" s="1"/>
      <c r="AE61" s="3">
        <f>ROUND(IF(((E61*F61)+AC61)&gt;E61,AD61,(E61*F61)),2)*116/365</f>
        <v>24.296438356164387</v>
      </c>
      <c r="AF61" s="12">
        <f t="shared" ref="AF61" si="47">AE61+AC61</f>
        <v>24.296438356164387</v>
      </c>
      <c r="AG61" s="12">
        <f t="shared" ref="AG61" si="48">E61-AF61</f>
        <v>281.48356164383557</v>
      </c>
      <c r="AH61" s="3">
        <f t="shared" si="17"/>
        <v>76.45</v>
      </c>
      <c r="AI61" s="12">
        <f t="shared" si="39"/>
        <v>100.74643835616439</v>
      </c>
      <c r="AJ61" s="12">
        <f t="shared" si="18"/>
        <v>205.03356164383558</v>
      </c>
      <c r="AK61" s="3">
        <f t="shared" si="19"/>
        <v>76.45</v>
      </c>
      <c r="AL61" s="12">
        <f t="shared" si="20"/>
        <v>177.19643835616438</v>
      </c>
      <c r="AM61" s="12">
        <f t="shared" si="41"/>
        <v>128.58356164383559</v>
      </c>
      <c r="AN61" s="3">
        <f t="shared" si="21"/>
        <v>76.45</v>
      </c>
      <c r="AO61" s="12">
        <f t="shared" si="22"/>
        <v>253.64643835616437</v>
      </c>
      <c r="AP61" s="12">
        <f t="shared" si="23"/>
        <v>52.133561643835606</v>
      </c>
      <c r="AQ61" s="3">
        <f t="shared" si="24"/>
        <v>52.13</v>
      </c>
      <c r="AR61" s="12">
        <f t="shared" si="25"/>
        <v>305.77643835616436</v>
      </c>
      <c r="AS61" s="12">
        <f t="shared" si="26"/>
        <v>3.5616438356100844E-3</v>
      </c>
      <c r="AT61" s="148" t="s">
        <v>346</v>
      </c>
    </row>
    <row r="62" spans="1:46" x14ac:dyDescent="0.25">
      <c r="A62" s="1"/>
      <c r="B62" s="109" t="s">
        <v>323</v>
      </c>
      <c r="C62" s="106">
        <v>144</v>
      </c>
      <c r="D62" s="144" t="s">
        <v>321</v>
      </c>
      <c r="E62" s="110">
        <v>1672.73</v>
      </c>
      <c r="F62" s="115">
        <v>0.25</v>
      </c>
      <c r="G62" s="2"/>
      <c r="H62" s="1"/>
      <c r="I62" s="1"/>
      <c r="J62" s="1"/>
      <c r="K62" s="1"/>
      <c r="L62" s="4"/>
      <c r="M62" s="1"/>
      <c r="N62" s="1"/>
      <c r="O62" s="1"/>
      <c r="AE62" s="3"/>
      <c r="AF62" s="12"/>
      <c r="AG62" s="12"/>
      <c r="AH62" s="3"/>
      <c r="AI62" s="12"/>
      <c r="AJ62" s="12"/>
      <c r="AK62" s="3">
        <f t="shared" si="19"/>
        <v>418.18</v>
      </c>
      <c r="AL62" s="12">
        <f t="shared" si="20"/>
        <v>418.18</v>
      </c>
      <c r="AM62" s="12">
        <f t="shared" si="41"/>
        <v>1254.55</v>
      </c>
      <c r="AN62" s="3">
        <f t="shared" si="21"/>
        <v>418.18</v>
      </c>
      <c r="AO62" s="12">
        <f t="shared" si="22"/>
        <v>836.36</v>
      </c>
      <c r="AP62" s="12">
        <f t="shared" si="23"/>
        <v>836.37</v>
      </c>
      <c r="AQ62" s="3">
        <f t="shared" si="24"/>
        <v>418.18</v>
      </c>
      <c r="AR62" s="12">
        <f t="shared" si="25"/>
        <v>1254.54</v>
      </c>
      <c r="AS62" s="12">
        <f t="shared" si="26"/>
        <v>418.19000000000005</v>
      </c>
      <c r="AT62" s="148" t="s">
        <v>346</v>
      </c>
    </row>
    <row r="63" spans="1:46" x14ac:dyDescent="0.25">
      <c r="A63" s="1"/>
      <c r="B63" s="109" t="s">
        <v>324</v>
      </c>
      <c r="C63" s="106">
        <v>145</v>
      </c>
      <c r="D63" s="144" t="s">
        <v>320</v>
      </c>
      <c r="E63" s="110">
        <v>355.36</v>
      </c>
      <c r="F63" s="115">
        <v>0.25</v>
      </c>
      <c r="G63" s="2"/>
      <c r="H63" s="1"/>
      <c r="I63" s="1"/>
      <c r="J63" s="1"/>
      <c r="K63" s="1"/>
      <c r="L63" s="4"/>
      <c r="M63" s="1"/>
      <c r="N63" s="1"/>
      <c r="O63" s="1"/>
      <c r="AE63" s="3"/>
      <c r="AF63" s="12"/>
      <c r="AG63" s="12"/>
      <c r="AH63" s="3"/>
      <c r="AI63" s="12"/>
      <c r="AJ63" s="12"/>
      <c r="AK63" s="3">
        <f t="shared" si="19"/>
        <v>88.84</v>
      </c>
      <c r="AL63" s="12">
        <f t="shared" si="20"/>
        <v>88.84</v>
      </c>
      <c r="AM63" s="12">
        <f t="shared" si="41"/>
        <v>266.52</v>
      </c>
      <c r="AN63" s="3">
        <f t="shared" si="21"/>
        <v>88.84</v>
      </c>
      <c r="AO63" s="12">
        <f t="shared" si="22"/>
        <v>177.68</v>
      </c>
      <c r="AP63" s="12">
        <f t="shared" si="23"/>
        <v>177.68</v>
      </c>
      <c r="AQ63" s="3">
        <f t="shared" si="24"/>
        <v>88.84</v>
      </c>
      <c r="AR63" s="12">
        <f t="shared" si="25"/>
        <v>266.52</v>
      </c>
      <c r="AS63" s="12">
        <f t="shared" si="26"/>
        <v>88.840000000000032</v>
      </c>
      <c r="AT63" s="148" t="s">
        <v>350</v>
      </c>
    </row>
    <row r="64" spans="1:46" x14ac:dyDescent="0.25">
      <c r="A64" s="1"/>
      <c r="B64" s="109" t="s">
        <v>322</v>
      </c>
      <c r="C64" s="106">
        <v>146</v>
      </c>
      <c r="D64" s="144" t="s">
        <v>319</v>
      </c>
      <c r="E64" s="110">
        <v>563.51</v>
      </c>
      <c r="F64" s="115">
        <v>0.25</v>
      </c>
      <c r="G64" s="2"/>
      <c r="H64" s="1"/>
      <c r="I64" s="1"/>
      <c r="J64" s="1"/>
      <c r="K64" s="1"/>
      <c r="L64" s="4"/>
      <c r="M64" s="1"/>
      <c r="N64" s="1"/>
      <c r="O64" s="1"/>
      <c r="AE64" s="3"/>
      <c r="AF64" s="12"/>
      <c r="AG64" s="12"/>
      <c r="AH64" s="3"/>
      <c r="AI64" s="12"/>
      <c r="AJ64" s="12"/>
      <c r="AK64" s="3">
        <f t="shared" si="19"/>
        <v>140.88</v>
      </c>
      <c r="AL64" s="12">
        <f t="shared" si="20"/>
        <v>140.88</v>
      </c>
      <c r="AM64" s="12">
        <f t="shared" si="41"/>
        <v>422.63</v>
      </c>
      <c r="AN64" s="3">
        <f t="shared" si="21"/>
        <v>140.88</v>
      </c>
      <c r="AO64" s="12">
        <f t="shared" si="22"/>
        <v>281.76</v>
      </c>
      <c r="AP64" s="12">
        <f t="shared" si="23"/>
        <v>281.75</v>
      </c>
      <c r="AQ64" s="3">
        <f t="shared" si="24"/>
        <v>140.88</v>
      </c>
      <c r="AR64" s="12">
        <f t="shared" si="25"/>
        <v>422.64</v>
      </c>
      <c r="AS64" s="12">
        <f t="shared" si="26"/>
        <v>140.87</v>
      </c>
      <c r="AT64" s="148" t="s">
        <v>345</v>
      </c>
    </row>
    <row r="65" spans="1:47" x14ac:dyDescent="0.25">
      <c r="A65" s="1"/>
      <c r="B65" s="109" t="s">
        <v>329</v>
      </c>
      <c r="C65" s="106">
        <v>147</v>
      </c>
      <c r="D65" s="144" t="s">
        <v>330</v>
      </c>
      <c r="E65" s="110">
        <v>634.61</v>
      </c>
      <c r="F65" s="115">
        <v>0.25</v>
      </c>
      <c r="G65" s="2"/>
      <c r="H65" s="1"/>
      <c r="I65" s="1"/>
      <c r="J65" s="1"/>
      <c r="K65" s="1"/>
      <c r="L65" s="4"/>
      <c r="M65" s="1"/>
      <c r="N65" s="1"/>
      <c r="O65" s="1"/>
      <c r="AE65" s="3"/>
      <c r="AF65" s="12"/>
      <c r="AG65" s="12"/>
      <c r="AH65" s="3"/>
      <c r="AI65" s="12"/>
      <c r="AJ65" s="12"/>
      <c r="AK65" s="3">
        <f>ROUND(IF(((E65*F65*300/365)+AI65)&gt;E65,AJ65,(E65*F65*300/365)),2)</f>
        <v>130.4</v>
      </c>
      <c r="AL65" s="12">
        <f t="shared" si="20"/>
        <v>130.4</v>
      </c>
      <c r="AM65" s="12">
        <f t="shared" si="41"/>
        <v>504.21000000000004</v>
      </c>
      <c r="AN65" s="3">
        <f t="shared" si="21"/>
        <v>158.65</v>
      </c>
      <c r="AO65" s="12">
        <f t="shared" si="22"/>
        <v>289.05</v>
      </c>
      <c r="AP65" s="12">
        <f t="shared" si="23"/>
        <v>345.56</v>
      </c>
      <c r="AQ65" s="3">
        <f t="shared" si="24"/>
        <v>158.65</v>
      </c>
      <c r="AR65" s="12">
        <f t="shared" si="25"/>
        <v>447.70000000000005</v>
      </c>
      <c r="AS65" s="12">
        <f t="shared" si="26"/>
        <v>186.90999999999997</v>
      </c>
      <c r="AT65" s="148" t="s">
        <v>344</v>
      </c>
    </row>
    <row r="66" spans="1:47" s="30" customFormat="1" x14ac:dyDescent="0.25">
      <c r="A66" s="25"/>
      <c r="B66" s="25"/>
      <c r="C66" s="25"/>
      <c r="D66" s="146"/>
      <c r="E66" s="87">
        <f t="shared" ref="E66" si="49">SUM(E2:E65)</f>
        <v>40058.510000000009</v>
      </c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>
        <f t="shared" ref="P66:AJ66" si="50">SUM(P2:P65)</f>
        <v>4671.6318333333338</v>
      </c>
      <c r="Q66" s="87">
        <f t="shared" si="50"/>
        <v>17405.732520833335</v>
      </c>
      <c r="R66" s="87">
        <f t="shared" si="50"/>
        <v>7371.8474791666667</v>
      </c>
      <c r="S66" s="87">
        <f t="shared" si="50"/>
        <v>4276.7112465753426</v>
      </c>
      <c r="T66" s="87">
        <f t="shared" si="50"/>
        <v>21682.44376740868</v>
      </c>
      <c r="U66" s="87">
        <f t="shared" si="50"/>
        <v>7288.7762325913245</v>
      </c>
      <c r="V66" s="87">
        <f t="shared" si="50"/>
        <v>3708.6740833333329</v>
      </c>
      <c r="W66" s="87">
        <f t="shared" si="50"/>
        <v>25391.117850742019</v>
      </c>
      <c r="X66" s="87">
        <f t="shared" si="50"/>
        <v>7052.3421492579919</v>
      </c>
      <c r="Y66" s="87">
        <f t="shared" si="50"/>
        <v>3602.93</v>
      </c>
      <c r="Z66" s="87">
        <f t="shared" si="50"/>
        <v>28994.047850742016</v>
      </c>
      <c r="AA66" s="87">
        <f t="shared" si="50"/>
        <v>3763.4521492579902</v>
      </c>
      <c r="AB66" s="87">
        <f t="shared" si="50"/>
        <v>2006.3899999999996</v>
      </c>
      <c r="AC66" s="87">
        <f t="shared" si="50"/>
        <v>31000.437850742015</v>
      </c>
      <c r="AD66" s="87">
        <f t="shared" si="50"/>
        <v>3347.1421492579907</v>
      </c>
      <c r="AE66" s="87">
        <f t="shared" si="50"/>
        <v>1904.2672328767126</v>
      </c>
      <c r="AF66" s="87">
        <f t="shared" si="50"/>
        <v>32904.705083618719</v>
      </c>
      <c r="AG66" s="87">
        <f t="shared" si="50"/>
        <v>3927.5949163812784</v>
      </c>
      <c r="AH66" s="87">
        <f t="shared" si="50"/>
        <v>1521.95</v>
      </c>
      <c r="AI66" s="87">
        <f t="shared" si="50"/>
        <v>34426.655083618723</v>
      </c>
      <c r="AJ66" s="87">
        <f t="shared" si="50"/>
        <v>2405.6449163812786</v>
      </c>
      <c r="AK66" s="87">
        <f>SUM(AK2:AK65)</f>
        <v>1797.0100000000002</v>
      </c>
      <c r="AL66" s="87">
        <f t="shared" ref="AL66:AM66" si="51">SUM(AL2:AL65)</f>
        <v>36223.665083618718</v>
      </c>
      <c r="AM66" s="87">
        <f t="shared" si="51"/>
        <v>3834.8449163812784</v>
      </c>
      <c r="AN66" s="87">
        <f>SUM(AN2:AN65)</f>
        <v>1825.2600000000002</v>
      </c>
      <c r="AO66" s="87">
        <f t="shared" ref="AO66:AP66" si="52">SUM(AO2:AO65)</f>
        <v>38048.92508361872</v>
      </c>
      <c r="AP66" s="87">
        <f t="shared" si="52"/>
        <v>2009.5849163812784</v>
      </c>
      <c r="AQ66" s="87">
        <f>SUM(AQ2:AQ65)</f>
        <v>1174.7900000000002</v>
      </c>
      <c r="AR66" s="87">
        <f t="shared" ref="AR66:AS66" si="53">SUM(AR2:AR65)</f>
        <v>39223.715083618721</v>
      </c>
      <c r="AS66" s="87">
        <f t="shared" si="53"/>
        <v>834.79491638127854</v>
      </c>
      <c r="AT66" s="152"/>
    </row>
    <row r="67" spans="1:47" x14ac:dyDescent="0.25">
      <c r="E67" s="93" t="str">
        <f>"(21700000)"</f>
        <v>(21700000)</v>
      </c>
      <c r="T67" s="76" t="str">
        <f>"(28170000)"</f>
        <v>(28170000)</v>
      </c>
      <c r="U67" s="76"/>
      <c r="V67" s="76" t="str">
        <f>"(68100000)"</f>
        <v>(68100000)</v>
      </c>
      <c r="W67" s="76" t="str">
        <f>"(28170000)"</f>
        <v>(28170000)</v>
      </c>
      <c r="X67" s="76"/>
      <c r="Y67" s="76" t="str">
        <f>"(68100000)"</f>
        <v>(68100000)</v>
      </c>
      <c r="Z67" s="76" t="str">
        <f>"(28170000)"</f>
        <v>(28170000)</v>
      </c>
      <c r="AA67" s="76"/>
      <c r="AB67" s="76" t="str">
        <f>"(68100000)"</f>
        <v>(68100000)</v>
      </c>
      <c r="AC67" s="76" t="str">
        <f>"(28170000)"</f>
        <v>(28170000)</v>
      </c>
      <c r="AD67" s="76"/>
      <c r="AE67" s="76" t="str">
        <f>"(68100000)"</f>
        <v>(68100000)</v>
      </c>
      <c r="AF67" s="76" t="str">
        <f>"(28170000)"</f>
        <v>(28170000)</v>
      </c>
      <c r="AG67" s="76"/>
      <c r="AH67" s="76"/>
      <c r="AI67" s="76"/>
      <c r="AJ67" s="76"/>
    </row>
    <row r="68" spans="1:47" ht="16.5" customHeight="1" x14ac:dyDescent="0.25"/>
    <row r="69" spans="1:47" ht="15" customHeight="1" x14ac:dyDescent="0.25">
      <c r="AO69" s="165" t="s">
        <v>355</v>
      </c>
      <c r="AP69" s="165"/>
      <c r="AQ69" s="165"/>
      <c r="AR69" s="165"/>
      <c r="AS69" s="165"/>
      <c r="AT69" s="165"/>
    </row>
    <row r="70" spans="1:47" x14ac:dyDescent="0.25">
      <c r="AK70" s="163">
        <v>68100000</v>
      </c>
      <c r="AL70" t="s">
        <v>245</v>
      </c>
      <c r="AM70">
        <v>1174.79</v>
      </c>
      <c r="AO70" s="165"/>
      <c r="AP70" s="165"/>
      <c r="AQ70" s="165"/>
      <c r="AR70" s="165"/>
      <c r="AS70" s="165"/>
      <c r="AT70" s="165"/>
    </row>
    <row r="71" spans="1:47" ht="15.75" thickBot="1" x14ac:dyDescent="0.3">
      <c r="E71" s="3"/>
      <c r="AK71" s="99" t="s">
        <v>205</v>
      </c>
      <c r="AL71" s="17" t="s">
        <v>247</v>
      </c>
      <c r="AM71" s="100">
        <v>1174.79</v>
      </c>
      <c r="AN71" s="3"/>
      <c r="AO71" s="3"/>
      <c r="AP71" s="3"/>
      <c r="AQ71" s="3"/>
      <c r="AR71" s="3"/>
      <c r="AS71" s="3"/>
    </row>
    <row r="72" spans="1:47" x14ac:dyDescent="0.25">
      <c r="V72" s="1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47" x14ac:dyDescent="0.25">
      <c r="V73" s="74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R73" s="3"/>
    </row>
    <row r="74" spans="1:47" x14ac:dyDescent="0.25">
      <c r="AB74" s="3"/>
      <c r="AU74" s="3"/>
    </row>
    <row r="75" spans="1:47" x14ac:dyDescent="0.25">
      <c r="AB75" s="3"/>
      <c r="AR75" s="3"/>
      <c r="AU75" s="3"/>
    </row>
  </sheetData>
  <autoFilter ref="A1:BO49" xr:uid="{00000000-0009-0000-0000-000001000000}"/>
  <mergeCells count="1">
    <mergeCell ref="AO69:AT70"/>
  </mergeCells>
  <phoneticPr fontId="14" type="noConversion"/>
  <printOptions horizontalCentered="1" gridLines="1"/>
  <pageMargins left="0.19685039370078741" right="0.19685039370078741" top="0.39370078740157483" bottom="0.39370078740157483" header="0.19685039370078741" footer="0.19685039370078741"/>
  <pageSetup paperSize="9" scale="17" orientation="portrait" r:id="rId1"/>
  <headerFooter>
    <oddFooter>&amp;C&amp;P&amp;R&amp;F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3:AX20"/>
  <sheetViews>
    <sheetView topLeftCell="B1" zoomScale="125" zoomScaleNormal="125" zoomScalePageLayoutView="125" workbookViewId="0">
      <selection activeCell="E5" sqref="E5:E10"/>
    </sheetView>
  </sheetViews>
  <sheetFormatPr baseColWidth="10" defaultRowHeight="15" x14ac:dyDescent="0.25"/>
  <cols>
    <col min="1" max="1" width="7.85546875" customWidth="1"/>
    <col min="2" max="2" width="19" bestFit="1" customWidth="1"/>
    <col min="5" max="5" width="13.42578125" customWidth="1"/>
    <col min="6" max="6" width="5.140625" hidden="1" customWidth="1"/>
    <col min="7" max="7" width="8.85546875" hidden="1" customWidth="1"/>
    <col min="8" max="8" width="8.7109375" hidden="1" customWidth="1"/>
    <col min="9" max="11" width="0" hidden="1" customWidth="1"/>
    <col min="12" max="15" width="10.85546875" hidden="1" customWidth="1"/>
    <col min="16" max="16" width="11.42578125" hidden="1" customWidth="1"/>
    <col min="17" max="17" width="13.85546875" hidden="1" customWidth="1"/>
    <col min="18" max="18" width="9.28515625" hidden="1" customWidth="1"/>
    <col min="19" max="22" width="0" hidden="1" customWidth="1"/>
    <col min="23" max="23" width="12.42578125" hidden="1" customWidth="1"/>
    <col min="24" max="25" width="0" hidden="1" customWidth="1"/>
    <col min="26" max="26" width="12.5703125" hidden="1" customWidth="1"/>
    <col min="27" max="28" width="0" hidden="1" customWidth="1"/>
    <col min="29" max="29" width="12.85546875" hidden="1" customWidth="1"/>
    <col min="30" max="31" width="0" hidden="1" customWidth="1"/>
    <col min="32" max="32" width="12.140625" hidden="1" customWidth="1"/>
    <col min="33" max="35" width="0" hidden="1" customWidth="1"/>
    <col min="45" max="45" width="8.42578125" bestFit="1" customWidth="1"/>
  </cols>
  <sheetData>
    <row r="3" spans="1:50" x14ac:dyDescent="0.25">
      <c r="AN3" s="14" t="s">
        <v>116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pans="1:50" s="81" customFormat="1" ht="45" x14ac:dyDescent="0.25">
      <c r="A4" s="64" t="s">
        <v>0</v>
      </c>
      <c r="B4" s="64" t="s">
        <v>139</v>
      </c>
      <c r="C4" s="64" t="s">
        <v>1</v>
      </c>
      <c r="D4" s="64" t="s">
        <v>9</v>
      </c>
      <c r="E4" s="64" t="s">
        <v>2</v>
      </c>
      <c r="F4" s="64" t="s">
        <v>3</v>
      </c>
      <c r="G4" s="64" t="s">
        <v>4</v>
      </c>
      <c r="H4" s="64" t="s">
        <v>5</v>
      </c>
      <c r="I4" s="64" t="s">
        <v>6</v>
      </c>
      <c r="J4" s="64" t="s">
        <v>7</v>
      </c>
      <c r="K4" s="64" t="s">
        <v>8</v>
      </c>
      <c r="L4" s="79" t="s">
        <v>10</v>
      </c>
      <c r="M4" s="79" t="s">
        <v>11</v>
      </c>
      <c r="N4" s="79" t="s">
        <v>12</v>
      </c>
      <c r="O4" s="79" t="s">
        <v>13</v>
      </c>
      <c r="P4" s="65" t="s">
        <v>125</v>
      </c>
      <c r="Q4" s="65" t="s">
        <v>126</v>
      </c>
      <c r="R4" s="65" t="s">
        <v>127</v>
      </c>
      <c r="S4" s="80" t="s">
        <v>141</v>
      </c>
      <c r="T4" s="80" t="s">
        <v>233</v>
      </c>
      <c r="U4" s="80" t="s">
        <v>143</v>
      </c>
      <c r="V4" s="83" t="s">
        <v>234</v>
      </c>
      <c r="W4" s="83" t="s">
        <v>235</v>
      </c>
      <c r="X4" s="83" t="s">
        <v>236</v>
      </c>
      <c r="Y4" s="83" t="s">
        <v>289</v>
      </c>
      <c r="Z4" s="83" t="s">
        <v>290</v>
      </c>
      <c r="AA4" s="83" t="s">
        <v>291</v>
      </c>
      <c r="AB4" s="83" t="s">
        <v>299</v>
      </c>
      <c r="AC4" s="83" t="s">
        <v>300</v>
      </c>
      <c r="AD4" s="83" t="s">
        <v>301</v>
      </c>
      <c r="AE4" s="83" t="s">
        <v>302</v>
      </c>
      <c r="AF4" s="83" t="s">
        <v>303</v>
      </c>
      <c r="AG4" s="83" t="s">
        <v>304</v>
      </c>
      <c r="AH4" s="83" t="s">
        <v>317</v>
      </c>
      <c r="AI4" s="83" t="s">
        <v>316</v>
      </c>
      <c r="AJ4" s="83" t="s">
        <v>318</v>
      </c>
      <c r="AK4" s="83" t="s">
        <v>341</v>
      </c>
      <c r="AL4" s="83"/>
      <c r="AM4" s="83"/>
    </row>
    <row r="5" spans="1:50" x14ac:dyDescent="0.25">
      <c r="A5" s="1" t="s">
        <v>14</v>
      </c>
      <c r="B5" s="1" t="s">
        <v>216</v>
      </c>
      <c r="C5" s="58" t="s">
        <v>24</v>
      </c>
      <c r="D5" s="1" t="s">
        <v>27</v>
      </c>
      <c r="E5" s="102">
        <v>947.41</v>
      </c>
      <c r="F5" s="10">
        <v>0.1</v>
      </c>
      <c r="G5" s="2">
        <v>1</v>
      </c>
      <c r="H5" s="1" t="s">
        <v>25</v>
      </c>
      <c r="I5" s="1" t="s">
        <v>16</v>
      </c>
      <c r="J5" s="1" t="s">
        <v>17</v>
      </c>
      <c r="K5" s="1" t="s">
        <v>26</v>
      </c>
      <c r="L5" s="1" t="s">
        <v>27</v>
      </c>
      <c r="N5" s="1" t="s">
        <v>19</v>
      </c>
      <c r="O5" s="1" t="s">
        <v>20</v>
      </c>
      <c r="P5">
        <f t="shared" ref="P5:P10" si="0">E5*F5</f>
        <v>94.741</v>
      </c>
      <c r="Q5" s="50">
        <v>849.39199999999994</v>
      </c>
      <c r="R5" s="3">
        <f t="shared" ref="R5:R10" si="1">E5-Q5</f>
        <v>98.018000000000029</v>
      </c>
      <c r="S5" s="77">
        <f t="shared" ref="S5:S10" si="2">E5*F5</f>
        <v>94.741</v>
      </c>
      <c r="T5" s="3">
        <f t="shared" ref="T5:T10" si="3">Q5+S5</f>
        <v>944.13299999999992</v>
      </c>
      <c r="U5" s="3">
        <f t="shared" ref="U5:U10" si="4">E5-T5</f>
        <v>3.2770000000000437</v>
      </c>
      <c r="V5" s="88">
        <f>U5</f>
        <v>3.2770000000000437</v>
      </c>
      <c r="W5" s="62">
        <f t="shared" ref="W5:W10" si="5">T5+V5</f>
        <v>947.41</v>
      </c>
      <c r="X5" s="3">
        <f t="shared" ref="X5:X10" si="6">E5-W5</f>
        <v>0</v>
      </c>
      <c r="Y5" s="3">
        <v>0</v>
      </c>
      <c r="Z5" s="3">
        <f>W5+Y5</f>
        <v>947.41</v>
      </c>
      <c r="AA5" s="3">
        <f>E5-Z5</f>
        <v>0</v>
      </c>
      <c r="AB5" s="3">
        <f>ROUND(IF((E5*F5)&lt;AA5,(E5*F5),Y5),2)</f>
        <v>0</v>
      </c>
      <c r="AC5" s="3">
        <f t="shared" ref="AC5:AC10" si="7">Z5+AB5</f>
        <v>947.41</v>
      </c>
      <c r="AD5" s="3">
        <f>E5-AC5</f>
        <v>0</v>
      </c>
      <c r="AE5" s="3">
        <f>ROUND(IF((E5*F5)&lt;AD5,(E5*F5),AB5),2)</f>
        <v>0</v>
      </c>
      <c r="AF5" s="3">
        <f t="shared" ref="AF5:AF10" si="8">AC5+AE5</f>
        <v>947.41</v>
      </c>
      <c r="AG5" s="3">
        <f>E5-AF5</f>
        <v>0</v>
      </c>
      <c r="AH5" s="3">
        <f>ROUND(IF((E5*F5)&lt;AG5,(E5*F5),AG5),2)</f>
        <v>0</v>
      </c>
      <c r="AI5" s="3">
        <f t="shared" ref="AI5:AI9" si="9">AF5+AH5</f>
        <v>947.41</v>
      </c>
      <c r="AJ5" s="3">
        <f>E5-AF5</f>
        <v>0</v>
      </c>
      <c r="AK5" s="3" t="s">
        <v>342</v>
      </c>
      <c r="AL5" s="3"/>
      <c r="AM5" s="3"/>
      <c r="AO5" t="s">
        <v>104</v>
      </c>
      <c r="AP5" t="s">
        <v>105</v>
      </c>
      <c r="AS5" t="s">
        <v>117</v>
      </c>
      <c r="AT5" t="s">
        <v>113</v>
      </c>
      <c r="AU5" t="s">
        <v>114</v>
      </c>
      <c r="AV5" t="s">
        <v>106</v>
      </c>
      <c r="AW5" t="s">
        <v>3</v>
      </c>
      <c r="AX5" t="s">
        <v>124</v>
      </c>
    </row>
    <row r="6" spans="1:50" x14ac:dyDescent="0.25">
      <c r="A6" s="1" t="s">
        <v>14</v>
      </c>
      <c r="B6" s="1" t="s">
        <v>217</v>
      </c>
      <c r="C6" s="58" t="s">
        <v>32</v>
      </c>
      <c r="D6" s="1" t="s">
        <v>30</v>
      </c>
      <c r="E6" s="102">
        <v>830.8</v>
      </c>
      <c r="F6" s="10">
        <v>0.1</v>
      </c>
      <c r="G6" s="2">
        <v>1</v>
      </c>
      <c r="H6" s="1" t="s">
        <v>25</v>
      </c>
      <c r="I6" s="1" t="s">
        <v>16</v>
      </c>
      <c r="J6" s="1" t="s">
        <v>17</v>
      </c>
      <c r="K6" s="1" t="s">
        <v>22</v>
      </c>
      <c r="L6" s="1" t="s">
        <v>30</v>
      </c>
      <c r="M6" s="1" t="s">
        <v>31</v>
      </c>
      <c r="N6" s="1" t="s">
        <v>19</v>
      </c>
      <c r="O6" s="1" t="s">
        <v>20</v>
      </c>
      <c r="P6">
        <f t="shared" si="0"/>
        <v>83.08</v>
      </c>
      <c r="Q6" s="50">
        <v>723.57</v>
      </c>
      <c r="R6" s="3">
        <f t="shared" si="1"/>
        <v>107.2299999999999</v>
      </c>
      <c r="S6" s="77">
        <f t="shared" si="2"/>
        <v>83.08</v>
      </c>
      <c r="T6" s="3">
        <f t="shared" si="3"/>
        <v>806.65000000000009</v>
      </c>
      <c r="U6" s="3">
        <f t="shared" si="4"/>
        <v>24.149999999999864</v>
      </c>
      <c r="V6" s="88">
        <f>U6</f>
        <v>24.149999999999864</v>
      </c>
      <c r="W6" s="62">
        <f t="shared" si="5"/>
        <v>830.8</v>
      </c>
      <c r="X6" s="3">
        <f t="shared" si="6"/>
        <v>0</v>
      </c>
      <c r="Y6" s="3">
        <v>0</v>
      </c>
      <c r="Z6" s="3">
        <f t="shared" ref="Z6:Z9" si="10">W6+Y6</f>
        <v>830.8</v>
      </c>
      <c r="AA6" s="3">
        <f t="shared" ref="AA6:AA10" si="11">E6-Z6</f>
        <v>0</v>
      </c>
      <c r="AB6" s="3">
        <f t="shared" ref="AB6:AB10" si="12">ROUND(IF((E6*F6)&lt;AA6,(E6*F6),Y6),2)</f>
        <v>0</v>
      </c>
      <c r="AC6" s="3">
        <f t="shared" si="7"/>
        <v>830.8</v>
      </c>
      <c r="AD6" s="3">
        <f t="shared" ref="AD6:AD9" si="13">E6-AC6</f>
        <v>0</v>
      </c>
      <c r="AE6" s="3">
        <f t="shared" ref="AE6:AE9" si="14">ROUND(IF((E6*F6)&lt;AD6,(E6*F6),AB6),2)</f>
        <v>0</v>
      </c>
      <c r="AF6" s="3">
        <f t="shared" si="8"/>
        <v>830.8</v>
      </c>
      <c r="AG6" s="3">
        <f t="shared" ref="AG6:AG9" si="15">E6-AF6</f>
        <v>0</v>
      </c>
      <c r="AH6" s="3">
        <f t="shared" ref="AH6:AH9" si="16">ROUND(IF((E6*F6)&lt;AG6,(E6*F6),AG6),2)</f>
        <v>0</v>
      </c>
      <c r="AI6" s="3">
        <f t="shared" si="9"/>
        <v>830.8</v>
      </c>
      <c r="AJ6" s="3">
        <f t="shared" ref="AJ6:AJ8" si="17">E6-AF6</f>
        <v>0</v>
      </c>
      <c r="AK6" s="3" t="s">
        <v>342</v>
      </c>
      <c r="AL6" s="3"/>
      <c r="AM6" s="3"/>
      <c r="AO6">
        <v>14</v>
      </c>
      <c r="AP6" s="5">
        <v>1595</v>
      </c>
      <c r="AS6" s="3">
        <v>1083.73</v>
      </c>
      <c r="AT6" s="3">
        <f>AS6+AU6</f>
        <v>1243.23</v>
      </c>
      <c r="AU6">
        <f>AP6*AW6</f>
        <v>159.5</v>
      </c>
      <c r="AV6" s="15">
        <v>39752</v>
      </c>
      <c r="AW6" s="11">
        <v>0.1</v>
      </c>
      <c r="AX6" s="15">
        <v>42005</v>
      </c>
    </row>
    <row r="7" spans="1:50" x14ac:dyDescent="0.25">
      <c r="A7" s="1" t="s">
        <v>14</v>
      </c>
      <c r="B7" s="1" t="s">
        <v>218</v>
      </c>
      <c r="C7" s="58" t="s">
        <v>40</v>
      </c>
      <c r="D7" s="1" t="s">
        <v>41</v>
      </c>
      <c r="E7" s="102">
        <v>215</v>
      </c>
      <c r="F7" s="10">
        <v>0.1</v>
      </c>
      <c r="G7" s="2">
        <v>1</v>
      </c>
      <c r="H7" s="1" t="s">
        <v>25</v>
      </c>
      <c r="I7" s="1" t="s">
        <v>16</v>
      </c>
      <c r="J7" s="1" t="s">
        <v>17</v>
      </c>
      <c r="K7" s="1" t="s">
        <v>18</v>
      </c>
      <c r="L7" s="1" t="s">
        <v>41</v>
      </c>
      <c r="M7" s="1" t="s">
        <v>42</v>
      </c>
      <c r="N7" s="1" t="s">
        <v>19</v>
      </c>
      <c r="O7" s="1" t="s">
        <v>43</v>
      </c>
      <c r="P7">
        <f t="shared" si="0"/>
        <v>21.5</v>
      </c>
      <c r="Q7" s="50">
        <v>112.69</v>
      </c>
      <c r="R7" s="3">
        <f t="shared" si="1"/>
        <v>102.31</v>
      </c>
      <c r="S7" s="77">
        <f t="shared" si="2"/>
        <v>21.5</v>
      </c>
      <c r="T7" s="3">
        <f t="shared" si="3"/>
        <v>134.19</v>
      </c>
      <c r="U7" s="3">
        <f t="shared" si="4"/>
        <v>80.81</v>
      </c>
      <c r="V7">
        <f>E7*F7</f>
        <v>21.5</v>
      </c>
      <c r="W7" s="62">
        <f t="shared" si="5"/>
        <v>155.69</v>
      </c>
      <c r="X7" s="3">
        <f t="shared" si="6"/>
        <v>59.31</v>
      </c>
      <c r="Y7" s="3">
        <f>ROUND(IF((E7*F7)&lt;X7,(E7*F7),V7),2)</f>
        <v>21.5</v>
      </c>
      <c r="Z7" s="3">
        <f t="shared" si="10"/>
        <v>177.19</v>
      </c>
      <c r="AA7" s="3">
        <f t="shared" si="11"/>
        <v>37.81</v>
      </c>
      <c r="AB7" s="3">
        <f t="shared" si="12"/>
        <v>21.5</v>
      </c>
      <c r="AC7" s="3">
        <f t="shared" si="7"/>
        <v>198.69</v>
      </c>
      <c r="AD7" s="3">
        <f t="shared" si="13"/>
        <v>16.310000000000002</v>
      </c>
      <c r="AE7" s="3">
        <f>E7-AC7</f>
        <v>16.310000000000002</v>
      </c>
      <c r="AF7" s="3">
        <f t="shared" si="8"/>
        <v>215</v>
      </c>
      <c r="AG7" s="3">
        <f t="shared" si="15"/>
        <v>0</v>
      </c>
      <c r="AH7" s="3">
        <f t="shared" si="16"/>
        <v>0</v>
      </c>
      <c r="AI7" s="3">
        <f t="shared" si="9"/>
        <v>215</v>
      </c>
      <c r="AJ7" s="3">
        <f t="shared" si="17"/>
        <v>0</v>
      </c>
      <c r="AK7" s="3" t="s">
        <v>342</v>
      </c>
      <c r="AL7" s="3"/>
      <c r="AM7" s="3"/>
      <c r="AN7" s="36"/>
      <c r="AO7" s="36"/>
      <c r="AQ7" s="3"/>
      <c r="AS7" s="5"/>
    </row>
    <row r="8" spans="1:50" x14ac:dyDescent="0.25">
      <c r="A8" s="1" t="s">
        <v>14</v>
      </c>
      <c r="B8" s="1" t="s">
        <v>219</v>
      </c>
      <c r="C8" s="58" t="s">
        <v>44</v>
      </c>
      <c r="D8" s="1" t="s">
        <v>45</v>
      </c>
      <c r="E8" s="102">
        <v>100</v>
      </c>
      <c r="F8" s="10">
        <v>0.1</v>
      </c>
      <c r="G8" s="2">
        <v>1</v>
      </c>
      <c r="H8" s="1" t="s">
        <v>25</v>
      </c>
      <c r="I8" s="1" t="s">
        <v>16</v>
      </c>
      <c r="J8" s="1" t="s">
        <v>17</v>
      </c>
      <c r="K8" s="1" t="s">
        <v>26</v>
      </c>
      <c r="L8" s="1" t="s">
        <v>45</v>
      </c>
      <c r="M8" s="1" t="s">
        <v>46</v>
      </c>
      <c r="N8" s="1" t="s">
        <v>19</v>
      </c>
      <c r="O8" s="1" t="s">
        <v>43</v>
      </c>
      <c r="P8">
        <f t="shared" si="0"/>
        <v>10</v>
      </c>
      <c r="Q8" s="50">
        <v>53.52</v>
      </c>
      <c r="R8" s="3">
        <f t="shared" si="1"/>
        <v>46.48</v>
      </c>
      <c r="S8" s="77">
        <f t="shared" si="2"/>
        <v>10</v>
      </c>
      <c r="T8" s="3">
        <f t="shared" si="3"/>
        <v>63.52</v>
      </c>
      <c r="U8" s="3">
        <f t="shared" si="4"/>
        <v>36.479999999999997</v>
      </c>
      <c r="V8">
        <f>E8*F8</f>
        <v>10</v>
      </c>
      <c r="W8" s="62">
        <f t="shared" si="5"/>
        <v>73.52000000000001</v>
      </c>
      <c r="X8" s="3">
        <f t="shared" si="6"/>
        <v>26.47999999999999</v>
      </c>
      <c r="Y8" s="3">
        <f t="shared" ref="Y8:Y9" si="18">ROUND(IF((E8*F8)&lt;X8,(E8*F8),V8),2)</f>
        <v>10</v>
      </c>
      <c r="Z8" s="3">
        <f t="shared" si="10"/>
        <v>83.52000000000001</v>
      </c>
      <c r="AA8" s="3">
        <f t="shared" si="11"/>
        <v>16.47999999999999</v>
      </c>
      <c r="AB8" s="3">
        <f t="shared" si="12"/>
        <v>10</v>
      </c>
      <c r="AC8" s="3">
        <f t="shared" si="7"/>
        <v>93.52000000000001</v>
      </c>
      <c r="AD8" s="3">
        <f t="shared" si="13"/>
        <v>6.4799999999999898</v>
      </c>
      <c r="AE8" s="3">
        <f>E8-AC8</f>
        <v>6.4799999999999898</v>
      </c>
      <c r="AF8" s="3">
        <f t="shared" si="8"/>
        <v>100</v>
      </c>
      <c r="AG8" s="3">
        <f t="shared" si="15"/>
        <v>0</v>
      </c>
      <c r="AH8" s="3">
        <f t="shared" si="16"/>
        <v>0</v>
      </c>
      <c r="AI8" s="3">
        <f t="shared" si="9"/>
        <v>100</v>
      </c>
      <c r="AJ8" s="3">
        <f t="shared" si="17"/>
        <v>0</v>
      </c>
      <c r="AK8" s="3" t="s">
        <v>342</v>
      </c>
      <c r="AL8" s="3"/>
      <c r="AM8" s="3"/>
      <c r="AS8" s="5"/>
    </row>
    <row r="9" spans="1:50" x14ac:dyDescent="0.25">
      <c r="A9" s="1" t="s">
        <v>14</v>
      </c>
      <c r="B9" s="1" t="s">
        <v>220</v>
      </c>
      <c r="C9" s="58" t="s">
        <v>63</v>
      </c>
      <c r="D9" s="1" t="s">
        <v>65</v>
      </c>
      <c r="E9" s="102">
        <v>303.31</v>
      </c>
      <c r="F9" s="19">
        <v>0.1</v>
      </c>
      <c r="G9" s="2">
        <v>1</v>
      </c>
      <c r="H9" s="1" t="s">
        <v>25</v>
      </c>
      <c r="I9" s="1">
        <v>28190000</v>
      </c>
      <c r="J9" s="1" t="s">
        <v>17</v>
      </c>
      <c r="K9" s="1" t="s">
        <v>64</v>
      </c>
      <c r="L9" s="1" t="s">
        <v>65</v>
      </c>
      <c r="M9" s="1" t="s">
        <v>66</v>
      </c>
      <c r="N9" s="1" t="s">
        <v>19</v>
      </c>
      <c r="O9" s="1" t="s">
        <v>43</v>
      </c>
      <c r="P9">
        <f t="shared" si="0"/>
        <v>30.331000000000003</v>
      </c>
      <c r="Q9" s="50">
        <v>125.462</v>
      </c>
      <c r="R9" s="3">
        <f t="shared" si="1"/>
        <v>177.84800000000001</v>
      </c>
      <c r="S9" s="77">
        <f t="shared" si="2"/>
        <v>30.331000000000003</v>
      </c>
      <c r="T9" s="3">
        <f t="shared" si="3"/>
        <v>155.79300000000001</v>
      </c>
      <c r="U9" s="3">
        <f t="shared" si="4"/>
        <v>147.517</v>
      </c>
      <c r="V9" s="77">
        <f>E9*F9</f>
        <v>30.331000000000003</v>
      </c>
      <c r="W9" s="62">
        <f t="shared" si="5"/>
        <v>186.12400000000002</v>
      </c>
      <c r="X9" s="3">
        <f t="shared" si="6"/>
        <v>117.18599999999998</v>
      </c>
      <c r="Y9" s="3">
        <f t="shared" si="18"/>
        <v>30.33</v>
      </c>
      <c r="Z9" s="3">
        <f t="shared" si="10"/>
        <v>216.45400000000001</v>
      </c>
      <c r="AA9" s="3">
        <f t="shared" si="11"/>
        <v>86.855999999999995</v>
      </c>
      <c r="AB9" s="3">
        <f t="shared" si="12"/>
        <v>30.33</v>
      </c>
      <c r="AC9" s="3">
        <f t="shared" si="7"/>
        <v>246.78399999999999</v>
      </c>
      <c r="AD9" s="3">
        <f t="shared" si="13"/>
        <v>56.52600000000001</v>
      </c>
      <c r="AE9" s="3">
        <f t="shared" si="14"/>
        <v>30.33</v>
      </c>
      <c r="AF9" s="3">
        <f t="shared" si="8"/>
        <v>277.11399999999998</v>
      </c>
      <c r="AG9" s="3">
        <f t="shared" si="15"/>
        <v>26.196000000000026</v>
      </c>
      <c r="AH9" s="3">
        <f t="shared" si="16"/>
        <v>26.2</v>
      </c>
      <c r="AI9" s="3">
        <f t="shared" si="9"/>
        <v>303.31399999999996</v>
      </c>
      <c r="AJ9" s="3">
        <f>E9-AI9</f>
        <v>-3.999999999962256E-3</v>
      </c>
      <c r="AK9" s="3" t="s">
        <v>342</v>
      </c>
      <c r="AL9" s="3"/>
      <c r="AM9" s="3"/>
      <c r="AS9" s="5"/>
    </row>
    <row r="10" spans="1:50" s="35" customFormat="1" x14ac:dyDescent="0.25">
      <c r="A10" s="37"/>
      <c r="B10" s="37"/>
      <c r="C10" s="37">
        <v>14</v>
      </c>
      <c r="D10" s="41">
        <v>39752</v>
      </c>
      <c r="E10" s="32">
        <v>1595</v>
      </c>
      <c r="F10" s="40">
        <v>0.1</v>
      </c>
      <c r="G10" s="38"/>
      <c r="H10" s="37"/>
      <c r="I10" s="37"/>
      <c r="J10" s="37"/>
      <c r="K10" s="37"/>
      <c r="L10" s="41" t="s">
        <v>129</v>
      </c>
      <c r="M10" s="37"/>
      <c r="N10" s="37"/>
      <c r="O10" s="37"/>
      <c r="P10" s="35">
        <f t="shared" si="0"/>
        <v>159.5</v>
      </c>
      <c r="Q10" s="33">
        <v>1402.73</v>
      </c>
      <c r="R10" s="33">
        <f t="shared" si="1"/>
        <v>192.26999999999998</v>
      </c>
      <c r="S10" s="35">
        <f t="shared" si="2"/>
        <v>159.5</v>
      </c>
      <c r="T10" s="35">
        <f t="shared" si="3"/>
        <v>1562.23</v>
      </c>
      <c r="U10" s="35">
        <f t="shared" si="4"/>
        <v>32.769999999999982</v>
      </c>
      <c r="V10" s="88">
        <f>U10</f>
        <v>32.769999999999982</v>
      </c>
      <c r="W10" s="33">
        <f t="shared" si="5"/>
        <v>1595</v>
      </c>
      <c r="X10" s="33">
        <f t="shared" si="6"/>
        <v>0</v>
      </c>
      <c r="Y10" s="33">
        <v>0</v>
      </c>
      <c r="Z10" s="33">
        <f>W10+Y10</f>
        <v>1595</v>
      </c>
      <c r="AA10" s="33">
        <f t="shared" si="11"/>
        <v>0</v>
      </c>
      <c r="AB10" s="33">
        <f t="shared" si="12"/>
        <v>0</v>
      </c>
      <c r="AC10" s="33">
        <f t="shared" si="7"/>
        <v>1595</v>
      </c>
      <c r="AD10" s="33">
        <f>E10-AC10</f>
        <v>0</v>
      </c>
      <c r="AE10" s="33">
        <f t="shared" ref="AE10" si="19">ROUND(IF((H10*I10)&lt;AD10,(H10*I10),AB10),2)</f>
        <v>0</v>
      </c>
      <c r="AF10" s="33">
        <f t="shared" si="8"/>
        <v>1595</v>
      </c>
      <c r="AG10" s="33">
        <f>E10-AF10</f>
        <v>0</v>
      </c>
      <c r="AH10" s="33">
        <f>ROUND(IF((E10*F10)&lt;AG10,(E10*F10),AE10),2)</f>
        <v>0</v>
      </c>
      <c r="AI10" s="33">
        <f>AF10+AH10</f>
        <v>1595</v>
      </c>
      <c r="AJ10" s="33">
        <f>E10-AI10</f>
        <v>0</v>
      </c>
      <c r="AK10" s="33" t="s">
        <v>342</v>
      </c>
      <c r="AL10" s="33"/>
      <c r="AM10" s="33"/>
      <c r="AS10" s="32"/>
    </row>
    <row r="11" spans="1:50" x14ac:dyDescent="0.25">
      <c r="A11" s="1"/>
      <c r="B11" s="1"/>
      <c r="C11" s="1"/>
      <c r="D11" s="1"/>
      <c r="E11" s="5"/>
      <c r="F11" s="10"/>
      <c r="G11" s="2"/>
      <c r="H11" s="1"/>
      <c r="I11" s="1"/>
      <c r="J11" s="1"/>
      <c r="K11" s="1"/>
      <c r="L11" s="1"/>
      <c r="M11" s="1"/>
      <c r="N11" s="1"/>
      <c r="O11" s="1"/>
      <c r="AR11" t="s">
        <v>110</v>
      </c>
      <c r="AS11" s="12" t="e">
        <f>#REF!-#REF!</f>
        <v>#REF!</v>
      </c>
      <c r="AT11" s="3" t="e">
        <f>#REF!-#REF!</f>
        <v>#REF!</v>
      </c>
      <c r="AU11" s="3" t="e">
        <f>#REF!-#REF!</f>
        <v>#REF!</v>
      </c>
      <c r="AV11" s="3" t="e">
        <f>#REF!-#REF!</f>
        <v>#REF!</v>
      </c>
      <c r="AW11" s="12" t="e">
        <f>#REF!-#REF!</f>
        <v>#REF!</v>
      </c>
    </row>
    <row r="12" spans="1:50" s="26" customFormat="1" x14ac:dyDescent="0.25">
      <c r="E12" s="94">
        <f>SUM(E5:E11)</f>
        <v>3991.52</v>
      </c>
      <c r="P12" s="28">
        <f t="shared" ref="P12:AA12" si="20">SUM(P5:P11)</f>
        <v>399.15199999999999</v>
      </c>
      <c r="Q12" s="28">
        <f t="shared" si="20"/>
        <v>3267.364</v>
      </c>
      <c r="R12" s="28">
        <f t="shared" si="20"/>
        <v>724.15599999999995</v>
      </c>
      <c r="S12" s="57">
        <f t="shared" si="20"/>
        <v>399.15199999999999</v>
      </c>
      <c r="T12" s="57">
        <f t="shared" si="20"/>
        <v>3666.5160000000001</v>
      </c>
      <c r="U12" s="57">
        <f t="shared" si="20"/>
        <v>325.00399999999991</v>
      </c>
      <c r="V12" s="87">
        <f t="shared" si="20"/>
        <v>122.02799999999989</v>
      </c>
      <c r="W12" s="87">
        <f t="shared" si="20"/>
        <v>3788.5439999999999</v>
      </c>
      <c r="X12" s="87">
        <f t="shared" si="20"/>
        <v>202.97599999999997</v>
      </c>
      <c r="Y12" s="87">
        <f t="shared" si="20"/>
        <v>61.83</v>
      </c>
      <c r="Z12" s="87">
        <f t="shared" si="20"/>
        <v>3850.3740000000003</v>
      </c>
      <c r="AA12" s="87">
        <f t="shared" si="20"/>
        <v>141.14599999999999</v>
      </c>
      <c r="AB12" s="87">
        <f t="shared" ref="AB12:AG12" si="21">SUM(AB5:AB11)</f>
        <v>61.83</v>
      </c>
      <c r="AC12" s="87">
        <f t="shared" si="21"/>
        <v>3912.2040000000002</v>
      </c>
      <c r="AD12" s="87">
        <f t="shared" si="21"/>
        <v>79.316000000000003</v>
      </c>
      <c r="AE12" s="87">
        <f t="shared" si="21"/>
        <v>53.11999999999999</v>
      </c>
      <c r="AF12" s="87">
        <f t="shared" si="21"/>
        <v>3965.3240000000001</v>
      </c>
      <c r="AG12" s="87">
        <f t="shared" si="21"/>
        <v>26.196000000000026</v>
      </c>
      <c r="AH12" s="87">
        <f t="shared" ref="AH12:AJ12" si="22">SUM(AH5:AH11)</f>
        <v>26.2</v>
      </c>
      <c r="AI12" s="87">
        <f t="shared" si="22"/>
        <v>3991.5239999999999</v>
      </c>
      <c r="AJ12" s="87">
        <f t="shared" si="22"/>
        <v>-3.999999999962256E-3</v>
      </c>
      <c r="AK12" s="87"/>
      <c r="AL12" s="87"/>
      <c r="AM12" s="87"/>
      <c r="AR12" s="29"/>
    </row>
    <row r="13" spans="1:50" x14ac:dyDescent="0.25">
      <c r="E13" s="93" t="str">
        <f>"(21900000)"</f>
        <v>(21900000)</v>
      </c>
      <c r="P13" s="78"/>
      <c r="Q13" s="76" t="str">
        <f>"(28190000)"</f>
        <v>(28190000)</v>
      </c>
      <c r="R13" s="78"/>
      <c r="S13" s="76" t="str">
        <f>"(68100000)"</f>
        <v>(68100000)</v>
      </c>
      <c r="T13" s="76" t="str">
        <f>"(28190000)"</f>
        <v>(28190000)</v>
      </c>
      <c r="V13" s="76" t="str">
        <f>"(68100000)"</f>
        <v>(68100000)</v>
      </c>
      <c r="W13" s="76" t="str">
        <f>"(28190000)"</f>
        <v>(28190000)</v>
      </c>
      <c r="Y13" s="76" t="str">
        <f>"(68100000)"</f>
        <v>(68100000)</v>
      </c>
      <c r="Z13" s="76" t="str">
        <f>"(28190000)"</f>
        <v>(28190000)</v>
      </c>
      <c r="AB13" s="76" t="str">
        <f t="shared" ref="AB13" si="23">"(68100000)"</f>
        <v>(68100000)</v>
      </c>
      <c r="AC13" s="76" t="str">
        <f t="shared" ref="AC13" si="24">"(28190000)"</f>
        <v>(28190000)</v>
      </c>
      <c r="AE13" s="76" t="str">
        <f t="shared" ref="AE13" si="25">"(68100000)"</f>
        <v>(68100000)</v>
      </c>
      <c r="AF13" s="76" t="str">
        <f t="shared" ref="AF13" si="26">"(28190000)"</f>
        <v>(28190000)</v>
      </c>
      <c r="AH13" s="76" t="str">
        <f t="shared" ref="AH13" si="27">"(68100000)"</f>
        <v>(68100000)</v>
      </c>
      <c r="AI13" s="76" t="str">
        <f t="shared" ref="AI13" si="28">"(28190000)"</f>
        <v>(28190000)</v>
      </c>
      <c r="AR13" s="3"/>
    </row>
    <row r="14" spans="1:50" x14ac:dyDescent="0.25">
      <c r="E14" s="3"/>
    </row>
    <row r="15" spans="1:50" ht="15.75" thickBot="1" x14ac:dyDescent="0.3">
      <c r="AR15" t="s">
        <v>108</v>
      </c>
      <c r="AS15" s="8">
        <v>1403.93</v>
      </c>
      <c r="AT15" s="17"/>
      <c r="AU15" s="8"/>
      <c r="AV15" s="8"/>
      <c r="AW15" s="8"/>
    </row>
    <row r="16" spans="1:50" s="35" customFormat="1" x14ac:dyDescent="0.25">
      <c r="C16" s="35" t="s">
        <v>138</v>
      </c>
      <c r="AR16" s="35" t="s">
        <v>110</v>
      </c>
      <c r="AS16" s="42" t="e">
        <f>AS15-#REF!</f>
        <v>#REF!</v>
      </c>
      <c r="AT16" s="33" t="e">
        <f>#REF!-AT15</f>
        <v>#REF!</v>
      </c>
      <c r="AU16" s="33" t="e">
        <f>#REF!-AU15</f>
        <v>#REF!</v>
      </c>
      <c r="AV16" s="33" t="e">
        <f>#REF!-AV15</f>
        <v>#REF!</v>
      </c>
      <c r="AW16" s="42"/>
    </row>
    <row r="17" spans="22:45" ht="15.75" thickBot="1" x14ac:dyDescent="0.3">
      <c r="AS17" s="5"/>
    </row>
    <row r="18" spans="22:45" x14ac:dyDescent="0.25">
      <c r="V18" s="95" t="s">
        <v>248</v>
      </c>
      <c r="W18" s="96"/>
      <c r="X18" s="97"/>
    </row>
    <row r="19" spans="22:45" x14ac:dyDescent="0.25">
      <c r="V19" s="101" t="s">
        <v>17</v>
      </c>
      <c r="W19" t="s">
        <v>245</v>
      </c>
      <c r="X19" s="98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22:45" ht="15.75" thickBot="1" x14ac:dyDescent="0.3">
      <c r="V20" s="99" t="s">
        <v>246</v>
      </c>
      <c r="W20" s="17" t="s">
        <v>247</v>
      </c>
      <c r="X20" s="10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</sheetData>
  <autoFilter ref="A4:O4" xr:uid="{00000000-0009-0000-0000-000002000000}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3:AR29"/>
  <sheetViews>
    <sheetView tabSelected="1" topLeftCell="AL1" zoomScale="125" zoomScaleNormal="125" zoomScalePageLayoutView="125" workbookViewId="0">
      <selection activeCell="AR20" sqref="AR20:AR23"/>
    </sheetView>
  </sheetViews>
  <sheetFormatPr baseColWidth="10" defaultRowHeight="15" x14ac:dyDescent="0.25"/>
  <cols>
    <col min="1" max="1" width="12.7109375" hidden="1" customWidth="1"/>
    <col min="2" max="2" width="12" bestFit="1" customWidth="1"/>
    <col min="3" max="3" width="31.5703125" bestFit="1" customWidth="1"/>
    <col min="4" max="4" width="8" customWidth="1"/>
    <col min="5" max="5" width="11.42578125" style="3" customWidth="1"/>
    <col min="6" max="6" width="13" style="3" customWidth="1"/>
    <col min="7" max="7" width="14.42578125" style="3" customWidth="1"/>
    <col min="8" max="8" width="8.42578125" customWidth="1"/>
    <col min="9" max="9" width="7.42578125" customWidth="1"/>
    <col min="10" max="10" width="7.140625" customWidth="1"/>
    <col min="11" max="11" width="11.42578125" customWidth="1"/>
    <col min="12" max="12" width="8.7109375" customWidth="1"/>
    <col min="13" max="13" width="11.42578125" customWidth="1"/>
    <col min="14" max="14" width="10.42578125" customWidth="1"/>
    <col min="15" max="15" width="12.85546875" customWidth="1"/>
    <col min="16" max="16" width="10.85546875" customWidth="1"/>
    <col min="17" max="23" width="11.42578125" customWidth="1"/>
    <col min="24" max="24" width="12.28515625" customWidth="1"/>
    <col min="25" max="29" width="11.42578125" customWidth="1"/>
    <col min="30" max="30" width="12.140625" customWidth="1"/>
    <col min="31" max="32" width="11.42578125" customWidth="1"/>
    <col min="33" max="33" width="12.28515625" customWidth="1"/>
    <col min="34" max="35" width="11.42578125" customWidth="1"/>
    <col min="36" max="36" width="12.28515625" customWidth="1"/>
    <col min="37" max="38" width="11.42578125" customWidth="1"/>
    <col min="39" max="39" width="12.140625" customWidth="1"/>
    <col min="40" max="40" width="11.42578125" customWidth="1"/>
    <col min="42" max="42" width="12.28515625" customWidth="1"/>
  </cols>
  <sheetData>
    <row r="3" spans="1:44" s="85" customFormat="1" ht="45" x14ac:dyDescent="0.25">
      <c r="A3" s="64" t="s">
        <v>0</v>
      </c>
      <c r="B3" s="64" t="s">
        <v>249</v>
      </c>
      <c r="C3" s="64" t="s">
        <v>139</v>
      </c>
      <c r="D3" s="64" t="s">
        <v>1</v>
      </c>
      <c r="E3" s="64" t="s">
        <v>9</v>
      </c>
      <c r="F3" s="64" t="s">
        <v>2</v>
      </c>
      <c r="G3" s="82" t="s">
        <v>107</v>
      </c>
      <c r="H3" s="64" t="s">
        <v>3</v>
      </c>
      <c r="I3" s="64" t="s">
        <v>4</v>
      </c>
      <c r="J3" s="64" t="s">
        <v>5</v>
      </c>
      <c r="K3" s="64" t="s">
        <v>6</v>
      </c>
      <c r="L3" s="64" t="s">
        <v>7</v>
      </c>
      <c r="M3" s="64" t="s">
        <v>8</v>
      </c>
      <c r="N3" s="83" t="s">
        <v>125</v>
      </c>
      <c r="O3" s="83" t="s">
        <v>126</v>
      </c>
      <c r="P3" s="84" t="s">
        <v>127</v>
      </c>
      <c r="Q3" s="80" t="s">
        <v>141</v>
      </c>
      <c r="R3" s="80" t="s">
        <v>233</v>
      </c>
      <c r="S3" s="80" t="s">
        <v>143</v>
      </c>
      <c r="T3" s="83" t="s">
        <v>234</v>
      </c>
      <c r="U3" s="83" t="s">
        <v>235</v>
      </c>
      <c r="V3" s="84" t="s">
        <v>236</v>
      </c>
      <c r="W3" s="83" t="s">
        <v>289</v>
      </c>
      <c r="X3" s="83" t="s">
        <v>290</v>
      </c>
      <c r="Y3" s="84" t="s">
        <v>291</v>
      </c>
      <c r="Z3" s="83" t="s">
        <v>299</v>
      </c>
      <c r="AA3" s="83" t="s">
        <v>300</v>
      </c>
      <c r="AB3" s="84" t="s">
        <v>301</v>
      </c>
      <c r="AC3" s="83" t="s">
        <v>302</v>
      </c>
      <c r="AD3" s="83" t="s">
        <v>303</v>
      </c>
      <c r="AE3" s="84" t="s">
        <v>304</v>
      </c>
      <c r="AF3" s="83" t="s">
        <v>317</v>
      </c>
      <c r="AG3" s="83" t="s">
        <v>316</v>
      </c>
      <c r="AH3" s="84" t="s">
        <v>318</v>
      </c>
      <c r="AI3" s="83" t="s">
        <v>328</v>
      </c>
      <c r="AJ3" s="83" t="s">
        <v>326</v>
      </c>
      <c r="AK3" s="84" t="s">
        <v>327</v>
      </c>
      <c r="AL3" s="83" t="s">
        <v>332</v>
      </c>
      <c r="AM3" s="83" t="s">
        <v>333</v>
      </c>
      <c r="AN3" s="84" t="s">
        <v>334</v>
      </c>
      <c r="AO3" s="83" t="s">
        <v>336</v>
      </c>
      <c r="AP3" s="83" t="s">
        <v>337</v>
      </c>
      <c r="AQ3" s="84" t="s">
        <v>338</v>
      </c>
      <c r="AR3" s="85" t="s">
        <v>341</v>
      </c>
    </row>
    <row r="4" spans="1:44" x14ac:dyDescent="0.25">
      <c r="A4" s="1" t="s">
        <v>14</v>
      </c>
      <c r="B4" s="1" t="s">
        <v>250</v>
      </c>
      <c r="C4" s="1" t="s">
        <v>223</v>
      </c>
      <c r="D4" s="58">
        <v>13</v>
      </c>
      <c r="E4" s="4">
        <v>39589</v>
      </c>
      <c r="F4" s="5">
        <v>436.33</v>
      </c>
      <c r="G4" s="5">
        <v>286.51</v>
      </c>
      <c r="H4" s="7">
        <v>0.1</v>
      </c>
      <c r="I4" s="2">
        <v>1</v>
      </c>
      <c r="J4" s="1" t="s">
        <v>33</v>
      </c>
      <c r="K4" s="1" t="s">
        <v>34</v>
      </c>
      <c r="L4" s="1" t="s">
        <v>35</v>
      </c>
      <c r="M4" s="1" t="s">
        <v>18</v>
      </c>
      <c r="N4" s="5">
        <f t="shared" ref="N4:N10" si="0">F4*H4</f>
        <v>43.633000000000003</v>
      </c>
      <c r="O4" s="50">
        <v>373.77599999999995</v>
      </c>
      <c r="P4" s="3">
        <f t="shared" ref="P4:P10" si="1">F4-O4</f>
        <v>62.55400000000003</v>
      </c>
      <c r="Q4" s="3">
        <f t="shared" ref="Q4:Q10" si="2">F4*H4</f>
        <v>43.633000000000003</v>
      </c>
      <c r="R4" s="3">
        <f>O4+Q4</f>
        <v>417.40899999999993</v>
      </c>
      <c r="S4" s="3">
        <f t="shared" ref="S4:S15" si="3">F4-R4</f>
        <v>18.921000000000049</v>
      </c>
      <c r="T4" s="88">
        <f>S4</f>
        <v>18.921000000000049</v>
      </c>
      <c r="U4" s="3">
        <f>R4+T4</f>
        <v>436.33</v>
      </c>
      <c r="V4" s="3">
        <f>F4-U4</f>
        <v>0</v>
      </c>
      <c r="W4">
        <v>0</v>
      </c>
      <c r="X4" s="3">
        <f>U4+W4</f>
        <v>436.33</v>
      </c>
      <c r="Y4" s="12">
        <f>F4-X4</f>
        <v>0</v>
      </c>
      <c r="Z4" s="3">
        <f>ROUND(IF((F4*H4)&lt;Y4,(F4*H4),Y4),2)</f>
        <v>0</v>
      </c>
      <c r="AA4" s="3">
        <f>X4+Z4</f>
        <v>436.33</v>
      </c>
      <c r="AB4" s="12">
        <f>F4-AA4</f>
        <v>0</v>
      </c>
      <c r="AC4" s="3">
        <f>ROUND(IF((F4*H4)&lt;AB4,(F4*H4),AB4),2)</f>
        <v>0</v>
      </c>
      <c r="AD4" s="3">
        <f>AA4+AC4</f>
        <v>436.33</v>
      </c>
      <c r="AE4" s="12">
        <f>F4-AD4</f>
        <v>0</v>
      </c>
      <c r="AF4" s="3">
        <f>ROUND(IF((F4*H4)&lt;AE4,(F4*H4),AE4),2)</f>
        <v>0</v>
      </c>
      <c r="AG4" s="3">
        <f>AD4+AF4</f>
        <v>436.33</v>
      </c>
      <c r="AH4" s="12">
        <f t="shared" ref="AH4:AH8" si="4">F4-AG4</f>
        <v>0</v>
      </c>
      <c r="AI4" s="3">
        <f>ROUND(IF((F4*H4)&lt;AH4,(F4*H4),AH4),2)</f>
        <v>0</v>
      </c>
      <c r="AJ4" s="3">
        <f>AG4+AI4</f>
        <v>436.33</v>
      </c>
      <c r="AK4" s="12">
        <f>F4-AJ4</f>
        <v>0</v>
      </c>
      <c r="AL4" s="3">
        <f>ROUND(IF((F4*H4)&lt;AK4,(F4*H4),AK4),2)</f>
        <v>0</v>
      </c>
      <c r="AM4" s="3">
        <f>AJ4+AL4</f>
        <v>436.33</v>
      </c>
      <c r="AN4" s="12">
        <f>F4-AM4</f>
        <v>0</v>
      </c>
      <c r="AO4" s="3">
        <f>ROUND(IF((F4*H4)&lt;AN4,(F4*H4),AN4),2)</f>
        <v>0</v>
      </c>
      <c r="AP4" s="3">
        <f>AM4+AO4</f>
        <v>436.33</v>
      </c>
      <c r="AQ4" s="12">
        <f>F4-AP4</f>
        <v>0</v>
      </c>
      <c r="AR4" s="147" t="s">
        <v>342</v>
      </c>
    </row>
    <row r="5" spans="1:44" x14ac:dyDescent="0.25">
      <c r="A5" s="1" t="s">
        <v>14</v>
      </c>
      <c r="B5" s="1" t="s">
        <v>250</v>
      </c>
      <c r="C5" s="1" t="s">
        <v>224</v>
      </c>
      <c r="D5" s="58">
        <v>14</v>
      </c>
      <c r="E5" s="4">
        <v>39752</v>
      </c>
      <c r="F5" s="5">
        <v>1595</v>
      </c>
      <c r="G5" s="5">
        <v>975.3</v>
      </c>
      <c r="H5" s="7">
        <v>0.1</v>
      </c>
      <c r="I5" s="2">
        <v>1</v>
      </c>
      <c r="J5" s="1" t="s">
        <v>33</v>
      </c>
      <c r="K5" s="1" t="s">
        <v>34</v>
      </c>
      <c r="L5" s="1" t="s">
        <v>35</v>
      </c>
      <c r="M5" s="1" t="s">
        <v>22</v>
      </c>
      <c r="N5" s="5">
        <f t="shared" si="0"/>
        <v>159.5</v>
      </c>
      <c r="O5" s="50">
        <v>1294.3</v>
      </c>
      <c r="P5" s="3">
        <f t="shared" si="1"/>
        <v>300.70000000000005</v>
      </c>
      <c r="Q5" s="3">
        <f t="shared" si="2"/>
        <v>159.5</v>
      </c>
      <c r="R5" s="3">
        <f>O5+Q5</f>
        <v>1453.8</v>
      </c>
      <c r="S5" s="3">
        <f t="shared" si="3"/>
        <v>141.20000000000005</v>
      </c>
      <c r="T5" s="88">
        <f>S5</f>
        <v>141.20000000000005</v>
      </c>
      <c r="U5" s="3">
        <f t="shared" ref="U5:U12" si="5">R5+T5</f>
        <v>1595</v>
      </c>
      <c r="V5" s="3">
        <f t="shared" ref="V5:V12" si="6">F5-U5</f>
        <v>0</v>
      </c>
      <c r="W5">
        <v>0</v>
      </c>
      <c r="X5" s="3">
        <f t="shared" ref="X5:X13" si="7">U5+W5</f>
        <v>1595</v>
      </c>
      <c r="Y5" s="12">
        <f t="shared" ref="Y5:Y13" si="8">F5-X5</f>
        <v>0</v>
      </c>
      <c r="Z5" s="3">
        <f t="shared" ref="Z5:Z15" si="9">ROUND(IF((F5*H5)&lt;Y5,(F5*H5),Y5),2)</f>
        <v>0</v>
      </c>
      <c r="AA5" s="3">
        <f t="shared" ref="AA5:AA15" si="10">X5+Z5</f>
        <v>1595</v>
      </c>
      <c r="AB5" s="12">
        <f>F5-AA5</f>
        <v>0</v>
      </c>
      <c r="AC5" s="3">
        <f t="shared" ref="AC5:AC15" si="11">ROUND(IF((F5*H5)&lt;AB5,(F5*H5),AB5),2)</f>
        <v>0</v>
      </c>
      <c r="AD5" s="3">
        <f t="shared" ref="AD5:AD15" si="12">AA5+AC5</f>
        <v>1595</v>
      </c>
      <c r="AE5" s="12">
        <f>F5-AD5</f>
        <v>0</v>
      </c>
      <c r="AF5" s="3">
        <f t="shared" ref="AF5:AF13" si="13">ROUND(IF((F5*H5)&lt;AE5,(F5*H5),AE5),2)</f>
        <v>0</v>
      </c>
      <c r="AG5" s="3">
        <f t="shared" ref="AG5:AG13" si="14">AD5+AF5</f>
        <v>1595</v>
      </c>
      <c r="AH5" s="12">
        <f t="shared" si="4"/>
        <v>0</v>
      </c>
      <c r="AI5" s="3">
        <f t="shared" ref="AI5:AI15" si="15">ROUND(IF((F5*H5)&lt;AH5,(F5*H5),AH5),2)</f>
        <v>0</v>
      </c>
      <c r="AJ5" s="3">
        <f t="shared" ref="AJ5:AJ13" si="16">AG5+AI5</f>
        <v>1595</v>
      </c>
      <c r="AK5" s="12">
        <f t="shared" ref="AK5:AK15" si="17">F5-AJ5</f>
        <v>0</v>
      </c>
      <c r="AL5" s="3">
        <f t="shared" ref="AL5:AL15" si="18">ROUND(IF((F5*H5)&lt;AK5,(F5*H5),AK5),2)</f>
        <v>0</v>
      </c>
      <c r="AM5" s="3">
        <f t="shared" ref="AM5:AM15" si="19">AJ5+AL5</f>
        <v>1595</v>
      </c>
      <c r="AN5" s="12">
        <f t="shared" ref="AN5:AN15" si="20">F5-AM5</f>
        <v>0</v>
      </c>
      <c r="AO5" s="3">
        <f t="shared" ref="AO5:AO15" si="21">ROUND(IF((F5*H5)&lt;AN5,(F5*H5),AN5),2)</f>
        <v>0</v>
      </c>
      <c r="AP5" s="3">
        <f t="shared" ref="AP5:AP13" si="22">AM5+AO5</f>
        <v>1595</v>
      </c>
      <c r="AQ5" s="12">
        <f t="shared" ref="AQ5:AQ15" si="23">F5-AP5</f>
        <v>0</v>
      </c>
      <c r="AR5" s="147" t="s">
        <v>342</v>
      </c>
    </row>
    <row r="6" spans="1:44" x14ac:dyDescent="0.25">
      <c r="A6" s="1" t="s">
        <v>14</v>
      </c>
      <c r="B6" s="1" t="s">
        <v>250</v>
      </c>
      <c r="C6" s="1" t="s">
        <v>225</v>
      </c>
      <c r="D6" s="58">
        <v>39</v>
      </c>
      <c r="E6" s="4">
        <v>40677</v>
      </c>
      <c r="F6" s="5">
        <v>249</v>
      </c>
      <c r="G6" s="5">
        <v>87.69</v>
      </c>
      <c r="H6" s="7">
        <v>0.1</v>
      </c>
      <c r="I6" s="2">
        <v>1</v>
      </c>
      <c r="J6" s="1" t="s">
        <v>33</v>
      </c>
      <c r="K6" s="1" t="s">
        <v>34</v>
      </c>
      <c r="L6" s="1" t="s">
        <v>35</v>
      </c>
      <c r="M6" s="1" t="s">
        <v>18</v>
      </c>
      <c r="N6" s="5">
        <f t="shared" si="0"/>
        <v>24.900000000000002</v>
      </c>
      <c r="O6" s="50">
        <v>137.49</v>
      </c>
      <c r="P6" s="3">
        <f t="shared" si="1"/>
        <v>111.50999999999999</v>
      </c>
      <c r="Q6" s="3">
        <f t="shared" si="2"/>
        <v>24.900000000000002</v>
      </c>
      <c r="R6" s="3">
        <f>O6+Q6</f>
        <v>162.39000000000001</v>
      </c>
      <c r="S6" s="3">
        <f t="shared" si="3"/>
        <v>86.609999999999985</v>
      </c>
      <c r="T6" s="3">
        <f t="shared" ref="T6:T12" si="24">F6*H6</f>
        <v>24.900000000000002</v>
      </c>
      <c r="U6" s="3">
        <f t="shared" si="5"/>
        <v>187.29000000000002</v>
      </c>
      <c r="V6" s="3">
        <f t="shared" si="6"/>
        <v>61.70999999999998</v>
      </c>
      <c r="W6" s="3">
        <f>ROUND(IF((F6*H6)&lt;V6,(F6*H6),V6),2)</f>
        <v>24.9</v>
      </c>
      <c r="X6" s="3">
        <f t="shared" si="7"/>
        <v>212.19000000000003</v>
      </c>
      <c r="Y6" s="3">
        <f t="shared" si="8"/>
        <v>36.809999999999974</v>
      </c>
      <c r="Z6" s="3">
        <f t="shared" si="9"/>
        <v>24.9</v>
      </c>
      <c r="AA6" s="3">
        <f t="shared" si="10"/>
        <v>237.09000000000003</v>
      </c>
      <c r="AB6" s="3">
        <f>F6-AA6</f>
        <v>11.909999999999968</v>
      </c>
      <c r="AC6" s="3">
        <f t="shared" si="11"/>
        <v>11.91</v>
      </c>
      <c r="AD6" s="3">
        <f t="shared" si="12"/>
        <v>249.00000000000003</v>
      </c>
      <c r="AE6" s="12">
        <f t="shared" ref="AE6:AE13" si="25">F6-AD6</f>
        <v>0</v>
      </c>
      <c r="AF6" s="3">
        <f t="shared" si="13"/>
        <v>0</v>
      </c>
      <c r="AG6" s="3">
        <f t="shared" si="14"/>
        <v>249.00000000000003</v>
      </c>
      <c r="AH6" s="12">
        <f t="shared" si="4"/>
        <v>0</v>
      </c>
      <c r="AI6" s="3">
        <f t="shared" si="15"/>
        <v>0</v>
      </c>
      <c r="AJ6" s="3">
        <f t="shared" si="16"/>
        <v>249.00000000000003</v>
      </c>
      <c r="AK6" s="12">
        <f t="shared" si="17"/>
        <v>0</v>
      </c>
      <c r="AL6" s="3">
        <f t="shared" si="18"/>
        <v>0</v>
      </c>
      <c r="AM6" s="3">
        <f t="shared" si="19"/>
        <v>249.00000000000003</v>
      </c>
      <c r="AN6" s="12">
        <f t="shared" si="20"/>
        <v>0</v>
      </c>
      <c r="AO6" s="3">
        <f t="shared" si="21"/>
        <v>0</v>
      </c>
      <c r="AP6" s="3">
        <f t="shared" si="22"/>
        <v>249.00000000000003</v>
      </c>
      <c r="AQ6" s="12">
        <f t="shared" si="23"/>
        <v>0</v>
      </c>
      <c r="AR6" s="147" t="s">
        <v>342</v>
      </c>
    </row>
    <row r="7" spans="1:44" x14ac:dyDescent="0.25">
      <c r="A7" s="1" t="s">
        <v>14</v>
      </c>
      <c r="B7" s="1" t="s">
        <v>250</v>
      </c>
      <c r="C7" s="1" t="s">
        <v>226</v>
      </c>
      <c r="D7" s="58">
        <v>45</v>
      </c>
      <c r="E7" s="4">
        <v>40785</v>
      </c>
      <c r="F7" s="5">
        <v>321.19</v>
      </c>
      <c r="G7" s="5">
        <v>103.89</v>
      </c>
      <c r="H7" s="7">
        <v>0.1</v>
      </c>
      <c r="I7" s="2">
        <v>1</v>
      </c>
      <c r="J7" s="1" t="s">
        <v>33</v>
      </c>
      <c r="K7" s="1" t="s">
        <v>34</v>
      </c>
      <c r="L7" s="1" t="s">
        <v>35</v>
      </c>
      <c r="M7" s="1" t="s">
        <v>51</v>
      </c>
      <c r="N7" s="5">
        <f t="shared" si="0"/>
        <v>32.119</v>
      </c>
      <c r="O7" s="50">
        <v>168.12800000000001</v>
      </c>
      <c r="P7" s="3">
        <f t="shared" si="1"/>
        <v>153.06199999999998</v>
      </c>
      <c r="Q7" s="3">
        <f t="shared" si="2"/>
        <v>32.119</v>
      </c>
      <c r="R7" s="3">
        <f>O7+Q7</f>
        <v>200.24700000000001</v>
      </c>
      <c r="S7" s="3">
        <f t="shared" si="3"/>
        <v>120.94299999999998</v>
      </c>
      <c r="T7" s="3">
        <f t="shared" si="24"/>
        <v>32.119</v>
      </c>
      <c r="U7" s="3">
        <f t="shared" si="5"/>
        <v>232.36600000000001</v>
      </c>
      <c r="V7" s="3">
        <f t="shared" si="6"/>
        <v>88.823999999999984</v>
      </c>
      <c r="W7" s="3">
        <f t="shared" ref="W7:W15" si="26">ROUND(IF((F7*H7)&lt;V7,(F7*H7),V7),2)</f>
        <v>32.119999999999997</v>
      </c>
      <c r="X7" s="3">
        <f t="shared" si="7"/>
        <v>264.48599999999999</v>
      </c>
      <c r="Y7" s="3">
        <f t="shared" si="8"/>
        <v>56.704000000000008</v>
      </c>
      <c r="Z7" s="3">
        <f t="shared" si="9"/>
        <v>32.119999999999997</v>
      </c>
      <c r="AA7" s="3">
        <f t="shared" si="10"/>
        <v>296.60599999999999</v>
      </c>
      <c r="AB7" s="3">
        <f t="shared" ref="AB7:AB15" si="27">F7-AA7</f>
        <v>24.584000000000003</v>
      </c>
      <c r="AC7" s="3">
        <f t="shared" si="11"/>
        <v>24.58</v>
      </c>
      <c r="AD7" s="3">
        <f t="shared" si="12"/>
        <v>321.18599999999998</v>
      </c>
      <c r="AE7" s="12">
        <f t="shared" si="25"/>
        <v>4.0000000000190994E-3</v>
      </c>
      <c r="AF7" s="3">
        <f t="shared" si="13"/>
        <v>0</v>
      </c>
      <c r="AG7" s="3">
        <f t="shared" si="14"/>
        <v>321.18599999999998</v>
      </c>
      <c r="AH7" s="12">
        <f t="shared" si="4"/>
        <v>4.0000000000190994E-3</v>
      </c>
      <c r="AI7" s="3">
        <f t="shared" si="15"/>
        <v>0</v>
      </c>
      <c r="AJ7" s="3">
        <f t="shared" si="16"/>
        <v>321.18599999999998</v>
      </c>
      <c r="AK7" s="12">
        <f t="shared" si="17"/>
        <v>4.0000000000190994E-3</v>
      </c>
      <c r="AL7" s="3">
        <f t="shared" si="18"/>
        <v>0</v>
      </c>
      <c r="AM7" s="3">
        <f t="shared" si="19"/>
        <v>321.18599999999998</v>
      </c>
      <c r="AN7" s="12">
        <f t="shared" si="20"/>
        <v>4.0000000000190994E-3</v>
      </c>
      <c r="AO7" s="3">
        <f t="shared" si="21"/>
        <v>0</v>
      </c>
      <c r="AP7" s="3">
        <f t="shared" si="22"/>
        <v>321.18599999999998</v>
      </c>
      <c r="AQ7" s="12">
        <f t="shared" si="23"/>
        <v>4.0000000000190994E-3</v>
      </c>
      <c r="AR7" s="147" t="s">
        <v>342</v>
      </c>
    </row>
    <row r="8" spans="1:44" x14ac:dyDescent="0.25">
      <c r="A8" s="1" t="s">
        <v>14</v>
      </c>
      <c r="B8" s="1" t="s">
        <v>250</v>
      </c>
      <c r="C8" s="1" t="s">
        <v>227</v>
      </c>
      <c r="D8" s="58">
        <v>50</v>
      </c>
      <c r="E8" s="4">
        <v>40836</v>
      </c>
      <c r="F8" s="5">
        <v>223.9</v>
      </c>
      <c r="G8" s="5">
        <v>69.31</v>
      </c>
      <c r="H8" s="7">
        <v>0.1</v>
      </c>
      <c r="I8" s="2">
        <v>1</v>
      </c>
      <c r="J8" s="1" t="s">
        <v>33</v>
      </c>
      <c r="K8" s="1" t="s">
        <v>34</v>
      </c>
      <c r="L8" s="1" t="s">
        <v>35</v>
      </c>
      <c r="M8" s="1" t="s">
        <v>51</v>
      </c>
      <c r="N8" s="5">
        <f t="shared" si="0"/>
        <v>22.39</v>
      </c>
      <c r="O8" s="50">
        <v>114.09</v>
      </c>
      <c r="P8" s="3">
        <f t="shared" si="1"/>
        <v>109.81</v>
      </c>
      <c r="Q8" s="3">
        <f t="shared" si="2"/>
        <v>22.39</v>
      </c>
      <c r="R8" s="3">
        <f t="shared" ref="R8" si="28">O8+Q8</f>
        <v>136.48000000000002</v>
      </c>
      <c r="S8" s="3">
        <f t="shared" si="3"/>
        <v>87.419999999999987</v>
      </c>
      <c r="T8" s="3">
        <f t="shared" si="24"/>
        <v>22.39</v>
      </c>
      <c r="U8" s="3">
        <f t="shared" si="5"/>
        <v>158.87</v>
      </c>
      <c r="V8" s="3">
        <f t="shared" si="6"/>
        <v>65.03</v>
      </c>
      <c r="W8" s="3">
        <f t="shared" si="26"/>
        <v>22.39</v>
      </c>
      <c r="X8" s="3">
        <f t="shared" si="7"/>
        <v>181.26</v>
      </c>
      <c r="Y8" s="3">
        <f t="shared" si="8"/>
        <v>42.640000000000015</v>
      </c>
      <c r="Z8" s="3">
        <f t="shared" si="9"/>
        <v>22.39</v>
      </c>
      <c r="AA8" s="3">
        <f t="shared" si="10"/>
        <v>203.64999999999998</v>
      </c>
      <c r="AB8" s="3">
        <f t="shared" si="27"/>
        <v>20.250000000000028</v>
      </c>
      <c r="AC8" s="3">
        <f t="shared" si="11"/>
        <v>20.25</v>
      </c>
      <c r="AD8" s="3">
        <f t="shared" si="12"/>
        <v>223.89999999999998</v>
      </c>
      <c r="AE8" s="12">
        <f t="shared" si="25"/>
        <v>0</v>
      </c>
      <c r="AF8" s="3">
        <f t="shared" si="13"/>
        <v>0</v>
      </c>
      <c r="AG8" s="3">
        <f t="shared" si="14"/>
        <v>223.89999999999998</v>
      </c>
      <c r="AH8" s="12">
        <f t="shared" si="4"/>
        <v>0</v>
      </c>
      <c r="AI8" s="3">
        <f t="shared" si="15"/>
        <v>0</v>
      </c>
      <c r="AJ8" s="3">
        <f t="shared" si="16"/>
        <v>223.89999999999998</v>
      </c>
      <c r="AK8" s="12">
        <f t="shared" si="17"/>
        <v>0</v>
      </c>
      <c r="AL8" s="3">
        <f t="shared" si="18"/>
        <v>0</v>
      </c>
      <c r="AM8" s="3">
        <f t="shared" si="19"/>
        <v>223.89999999999998</v>
      </c>
      <c r="AN8" s="12">
        <f t="shared" si="20"/>
        <v>0</v>
      </c>
      <c r="AO8" s="3">
        <f t="shared" si="21"/>
        <v>0</v>
      </c>
      <c r="AP8" s="3">
        <f t="shared" si="22"/>
        <v>223.89999999999998</v>
      </c>
      <c r="AQ8" s="12">
        <f t="shared" si="23"/>
        <v>0</v>
      </c>
      <c r="AR8" s="147" t="s">
        <v>342</v>
      </c>
    </row>
    <row r="9" spans="1:44" x14ac:dyDescent="0.25">
      <c r="A9" s="1" t="s">
        <v>14</v>
      </c>
      <c r="B9" s="37" t="s">
        <v>251</v>
      </c>
      <c r="C9" s="37" t="s">
        <v>228</v>
      </c>
      <c r="D9" s="37">
        <v>67</v>
      </c>
      <c r="E9" s="161">
        <v>41640</v>
      </c>
      <c r="F9" s="32">
        <v>64345.16</v>
      </c>
      <c r="G9" s="32">
        <v>13101.16</v>
      </c>
      <c r="H9" s="162">
        <v>0.2</v>
      </c>
      <c r="I9" s="38">
        <v>1</v>
      </c>
      <c r="J9" s="37" t="s">
        <v>84</v>
      </c>
      <c r="K9" s="37" t="s">
        <v>34</v>
      </c>
      <c r="L9" s="37" t="s">
        <v>35</v>
      </c>
      <c r="M9" s="37" t="s">
        <v>85</v>
      </c>
      <c r="N9" s="32">
        <f t="shared" si="0"/>
        <v>12869.032000000001</v>
      </c>
      <c r="O9" s="33">
        <v>38839.224000000002</v>
      </c>
      <c r="P9" s="33">
        <f t="shared" si="1"/>
        <v>25505.936000000002</v>
      </c>
      <c r="Q9" s="33">
        <f t="shared" si="2"/>
        <v>12869.032000000001</v>
      </c>
      <c r="R9" s="33">
        <f t="shared" ref="R9" si="29">O9+Q9</f>
        <v>51708.256000000001</v>
      </c>
      <c r="S9" s="33">
        <f t="shared" si="3"/>
        <v>12636.904000000002</v>
      </c>
      <c r="T9" s="33">
        <f>S9</f>
        <v>12636.904000000002</v>
      </c>
      <c r="U9" s="33">
        <f t="shared" si="5"/>
        <v>64345.16</v>
      </c>
      <c r="V9" s="33">
        <f t="shared" si="6"/>
        <v>0</v>
      </c>
      <c r="W9" s="33">
        <f t="shared" si="26"/>
        <v>0</v>
      </c>
      <c r="X9" s="33">
        <f t="shared" si="7"/>
        <v>64345.16</v>
      </c>
      <c r="Y9" s="42">
        <f t="shared" si="8"/>
        <v>0</v>
      </c>
      <c r="Z9" s="33">
        <f t="shared" si="9"/>
        <v>0</v>
      </c>
      <c r="AA9" s="33">
        <f t="shared" si="10"/>
        <v>64345.16</v>
      </c>
      <c r="AB9" s="33">
        <f t="shared" si="27"/>
        <v>0</v>
      </c>
      <c r="AC9" s="33">
        <f t="shared" si="11"/>
        <v>0</v>
      </c>
      <c r="AD9" s="33">
        <f t="shared" si="12"/>
        <v>64345.16</v>
      </c>
      <c r="AE9" s="42">
        <f t="shared" si="25"/>
        <v>0</v>
      </c>
      <c r="AF9" s="33">
        <f t="shared" si="13"/>
        <v>0</v>
      </c>
      <c r="AG9" s="33">
        <f t="shared" si="14"/>
        <v>64345.16</v>
      </c>
      <c r="AH9" s="42">
        <f>F9-AG9</f>
        <v>0</v>
      </c>
      <c r="AI9" s="33">
        <f t="shared" si="15"/>
        <v>0</v>
      </c>
      <c r="AJ9" s="33">
        <f t="shared" si="16"/>
        <v>64345.16</v>
      </c>
      <c r="AK9" s="42">
        <f t="shared" si="17"/>
        <v>0</v>
      </c>
      <c r="AL9" s="33">
        <f t="shared" si="18"/>
        <v>0</v>
      </c>
      <c r="AM9" s="33">
        <f t="shared" si="19"/>
        <v>64345.16</v>
      </c>
      <c r="AN9" s="42">
        <f t="shared" si="20"/>
        <v>0</v>
      </c>
      <c r="AO9" s="33">
        <f t="shared" si="21"/>
        <v>0</v>
      </c>
      <c r="AP9" s="33">
        <f t="shared" si="22"/>
        <v>64345.16</v>
      </c>
      <c r="AQ9" s="42">
        <f t="shared" si="23"/>
        <v>0</v>
      </c>
      <c r="AR9" s="147" t="s">
        <v>342</v>
      </c>
    </row>
    <row r="10" spans="1:44" x14ac:dyDescent="0.25">
      <c r="A10" s="1"/>
      <c r="B10" s="1" t="s">
        <v>250</v>
      </c>
      <c r="C10" s="1" t="s">
        <v>229</v>
      </c>
      <c r="D10" s="74" t="s">
        <v>274</v>
      </c>
      <c r="E10" s="4">
        <v>42321</v>
      </c>
      <c r="F10" s="5">
        <v>300</v>
      </c>
      <c r="G10" s="5"/>
      <c r="H10" s="9">
        <v>0.1</v>
      </c>
      <c r="I10" s="2"/>
      <c r="J10" s="1"/>
      <c r="K10" s="1" t="s">
        <v>34</v>
      </c>
      <c r="L10" s="1" t="s">
        <v>35</v>
      </c>
      <c r="M10" s="1"/>
      <c r="N10" s="5">
        <f t="shared" si="0"/>
        <v>30</v>
      </c>
      <c r="O10" s="50">
        <v>35</v>
      </c>
      <c r="P10" s="3">
        <f t="shared" si="1"/>
        <v>265</v>
      </c>
      <c r="Q10" s="3">
        <f t="shared" si="2"/>
        <v>30</v>
      </c>
      <c r="R10" s="3">
        <f t="shared" ref="R10:R12" si="30">O10+Q10</f>
        <v>65</v>
      </c>
      <c r="S10" s="3">
        <f t="shared" si="3"/>
        <v>235</v>
      </c>
      <c r="T10" s="3">
        <f t="shared" si="24"/>
        <v>30</v>
      </c>
      <c r="U10" s="3">
        <f t="shared" si="5"/>
        <v>95</v>
      </c>
      <c r="V10" s="3">
        <f t="shared" si="6"/>
        <v>205</v>
      </c>
      <c r="W10" s="3">
        <f t="shared" si="26"/>
        <v>30</v>
      </c>
      <c r="X10" s="3">
        <f t="shared" si="7"/>
        <v>125</v>
      </c>
      <c r="Y10" s="3">
        <f t="shared" si="8"/>
        <v>175</v>
      </c>
      <c r="Z10" s="3">
        <f t="shared" si="9"/>
        <v>30</v>
      </c>
      <c r="AA10" s="3">
        <f t="shared" si="10"/>
        <v>155</v>
      </c>
      <c r="AB10" s="3">
        <f t="shared" si="27"/>
        <v>145</v>
      </c>
      <c r="AC10" s="3">
        <f t="shared" si="11"/>
        <v>30</v>
      </c>
      <c r="AD10" s="3">
        <f t="shared" si="12"/>
        <v>185</v>
      </c>
      <c r="AE10" s="73">
        <f t="shared" si="25"/>
        <v>115</v>
      </c>
      <c r="AF10" s="3">
        <f t="shared" si="13"/>
        <v>30</v>
      </c>
      <c r="AG10" s="3">
        <f t="shared" si="14"/>
        <v>215</v>
      </c>
      <c r="AH10" s="73">
        <f>F10-AG10</f>
        <v>85</v>
      </c>
      <c r="AI10" s="3">
        <f t="shared" si="15"/>
        <v>30</v>
      </c>
      <c r="AJ10" s="3">
        <f t="shared" si="16"/>
        <v>245</v>
      </c>
      <c r="AK10" s="73">
        <f t="shared" si="17"/>
        <v>55</v>
      </c>
      <c r="AL10" s="3">
        <f t="shared" si="18"/>
        <v>30</v>
      </c>
      <c r="AM10" s="3">
        <f t="shared" si="19"/>
        <v>275</v>
      </c>
      <c r="AN10" s="12">
        <f t="shared" si="20"/>
        <v>25</v>
      </c>
      <c r="AO10" s="3">
        <f t="shared" si="21"/>
        <v>25</v>
      </c>
      <c r="AP10" s="3">
        <f t="shared" si="22"/>
        <v>300</v>
      </c>
      <c r="AQ10" s="12">
        <f t="shared" si="23"/>
        <v>0</v>
      </c>
      <c r="AR10" s="148"/>
    </row>
    <row r="11" spans="1:44" x14ac:dyDescent="0.25">
      <c r="A11" s="1"/>
      <c r="B11" s="1" t="s">
        <v>250</v>
      </c>
      <c r="C11" s="1" t="s">
        <v>230</v>
      </c>
      <c r="D11" s="74" t="s">
        <v>275</v>
      </c>
      <c r="E11" s="4">
        <v>43055</v>
      </c>
      <c r="F11" s="5">
        <v>420</v>
      </c>
      <c r="G11" s="5"/>
      <c r="H11" s="9">
        <v>0.1</v>
      </c>
      <c r="I11" s="2"/>
      <c r="J11" s="1"/>
      <c r="K11" s="1" t="s">
        <v>34</v>
      </c>
      <c r="L11" s="1" t="s">
        <v>35</v>
      </c>
      <c r="M11" s="1" t="s">
        <v>231</v>
      </c>
      <c r="N11" s="5"/>
      <c r="O11" s="5"/>
      <c r="P11" s="3"/>
      <c r="Q11" s="3">
        <f>F11*H11/365*46</f>
        <v>5.2931506849315069</v>
      </c>
      <c r="R11" s="3">
        <f t="shared" si="30"/>
        <v>5.2931506849315069</v>
      </c>
      <c r="S11" s="3">
        <f t="shared" si="3"/>
        <v>414.7068493150685</v>
      </c>
      <c r="T11" s="3">
        <f t="shared" si="24"/>
        <v>42</v>
      </c>
      <c r="U11" s="3">
        <f t="shared" si="5"/>
        <v>47.293150684931504</v>
      </c>
      <c r="V11" s="3">
        <f t="shared" si="6"/>
        <v>372.7068493150685</v>
      </c>
      <c r="W11" s="3">
        <f t="shared" si="26"/>
        <v>42</v>
      </c>
      <c r="X11" s="3">
        <f t="shared" si="7"/>
        <v>89.293150684931504</v>
      </c>
      <c r="Y11" s="3">
        <f t="shared" si="8"/>
        <v>330.7068493150685</v>
      </c>
      <c r="Z11" s="3">
        <f t="shared" si="9"/>
        <v>42</v>
      </c>
      <c r="AA11" s="3">
        <f t="shared" si="10"/>
        <v>131.2931506849315</v>
      </c>
      <c r="AB11" s="3">
        <f t="shared" si="27"/>
        <v>288.7068493150685</v>
      </c>
      <c r="AC11" s="3">
        <f t="shared" si="11"/>
        <v>42</v>
      </c>
      <c r="AD11" s="3">
        <f t="shared" si="12"/>
        <v>173.2931506849315</v>
      </c>
      <c r="AE11" s="73">
        <f t="shared" si="25"/>
        <v>246.7068493150685</v>
      </c>
      <c r="AF11" s="3">
        <f t="shared" si="13"/>
        <v>42</v>
      </c>
      <c r="AG11" s="3">
        <f t="shared" si="14"/>
        <v>215.2931506849315</v>
      </c>
      <c r="AH11" s="73">
        <f t="shared" ref="AH11:AH13" si="31">F11-AG11</f>
        <v>204.7068493150685</v>
      </c>
      <c r="AI11" s="3">
        <f t="shared" si="15"/>
        <v>42</v>
      </c>
      <c r="AJ11" s="3">
        <f t="shared" si="16"/>
        <v>257.2931506849315</v>
      </c>
      <c r="AK11" s="73">
        <f t="shared" si="17"/>
        <v>162.7068493150685</v>
      </c>
      <c r="AL11" s="3">
        <f t="shared" si="18"/>
        <v>42</v>
      </c>
      <c r="AM11" s="3">
        <f t="shared" si="19"/>
        <v>299.2931506849315</v>
      </c>
      <c r="AN11" s="12">
        <f t="shared" si="20"/>
        <v>120.7068493150685</v>
      </c>
      <c r="AO11" s="3">
        <f t="shared" si="21"/>
        <v>42</v>
      </c>
      <c r="AP11" s="3">
        <f t="shared" si="22"/>
        <v>341.2931506849315</v>
      </c>
      <c r="AQ11" s="12">
        <f t="shared" si="23"/>
        <v>78.706849315068496</v>
      </c>
      <c r="AR11" s="148"/>
    </row>
    <row r="12" spans="1:44" x14ac:dyDescent="0.25">
      <c r="A12" s="1"/>
      <c r="B12" s="1" t="s">
        <v>250</v>
      </c>
      <c r="C12" s="1" t="s">
        <v>232</v>
      </c>
      <c r="D12" s="74" t="s">
        <v>276</v>
      </c>
      <c r="E12" s="4">
        <v>42736</v>
      </c>
      <c r="F12" s="5">
        <v>300</v>
      </c>
      <c r="G12" s="5"/>
      <c r="H12" s="9">
        <v>0.1</v>
      </c>
      <c r="I12" s="2"/>
      <c r="J12" s="1"/>
      <c r="K12" s="1" t="s">
        <v>34</v>
      </c>
      <c r="L12" s="1" t="s">
        <v>35</v>
      </c>
      <c r="M12" s="1" t="s">
        <v>231</v>
      </c>
      <c r="N12" s="5"/>
      <c r="O12" s="5"/>
      <c r="P12" s="3"/>
      <c r="Q12" s="3">
        <f>F12*H12</f>
        <v>30</v>
      </c>
      <c r="R12" s="3">
        <f t="shared" si="30"/>
        <v>30</v>
      </c>
      <c r="S12" s="3">
        <f t="shared" si="3"/>
        <v>270</v>
      </c>
      <c r="T12" s="3">
        <f t="shared" si="24"/>
        <v>30</v>
      </c>
      <c r="U12" s="3">
        <f t="shared" si="5"/>
        <v>60</v>
      </c>
      <c r="V12" s="3">
        <f t="shared" si="6"/>
        <v>240</v>
      </c>
      <c r="W12" s="3">
        <f t="shared" si="26"/>
        <v>30</v>
      </c>
      <c r="X12" s="3">
        <f t="shared" si="7"/>
        <v>90</v>
      </c>
      <c r="Y12" s="3">
        <f t="shared" si="8"/>
        <v>210</v>
      </c>
      <c r="Z12" s="3">
        <f t="shared" si="9"/>
        <v>30</v>
      </c>
      <c r="AA12" s="3">
        <f t="shared" si="10"/>
        <v>120</v>
      </c>
      <c r="AB12" s="3">
        <f t="shared" si="27"/>
        <v>180</v>
      </c>
      <c r="AC12" s="3">
        <f t="shared" si="11"/>
        <v>30</v>
      </c>
      <c r="AD12" s="3">
        <f t="shared" si="12"/>
        <v>150</v>
      </c>
      <c r="AE12" s="73">
        <f t="shared" si="25"/>
        <v>150</v>
      </c>
      <c r="AF12" s="3">
        <f t="shared" si="13"/>
        <v>30</v>
      </c>
      <c r="AG12" s="3">
        <f t="shared" si="14"/>
        <v>180</v>
      </c>
      <c r="AH12" s="73">
        <f t="shared" si="31"/>
        <v>120</v>
      </c>
      <c r="AI12" s="3">
        <f t="shared" si="15"/>
        <v>30</v>
      </c>
      <c r="AJ12" s="3">
        <f t="shared" si="16"/>
        <v>210</v>
      </c>
      <c r="AK12" s="73">
        <f t="shared" si="17"/>
        <v>90</v>
      </c>
      <c r="AL12" s="3">
        <f t="shared" si="18"/>
        <v>30</v>
      </c>
      <c r="AM12" s="3">
        <f t="shared" si="19"/>
        <v>240</v>
      </c>
      <c r="AN12" s="12">
        <f t="shared" si="20"/>
        <v>60</v>
      </c>
      <c r="AO12" s="3">
        <f t="shared" si="21"/>
        <v>30</v>
      </c>
      <c r="AP12" s="3">
        <f t="shared" si="22"/>
        <v>270</v>
      </c>
      <c r="AQ12" s="12">
        <f t="shared" si="23"/>
        <v>30</v>
      </c>
      <c r="AR12" s="148"/>
    </row>
    <row r="13" spans="1:44" x14ac:dyDescent="0.25">
      <c r="A13" s="1">
        <v>768</v>
      </c>
      <c r="B13" s="1" t="s">
        <v>250</v>
      </c>
      <c r="C13" t="s">
        <v>272</v>
      </c>
      <c r="D13" s="74" t="s">
        <v>273</v>
      </c>
      <c r="E13" s="4">
        <v>43420</v>
      </c>
      <c r="F13" s="5">
        <v>420</v>
      </c>
      <c r="G13" s="5"/>
      <c r="H13" s="9">
        <v>0.1</v>
      </c>
      <c r="I13" s="2"/>
      <c r="J13" s="1"/>
      <c r="K13" s="1"/>
      <c r="L13" s="1"/>
      <c r="M13" s="1">
        <v>40000116</v>
      </c>
      <c r="N13" s="5"/>
      <c r="O13" s="5"/>
      <c r="P13" s="3"/>
      <c r="Q13" s="3"/>
      <c r="R13" s="3"/>
      <c r="S13" s="3"/>
      <c r="T13" s="3">
        <f>(F13*H13)/12*1.5</f>
        <v>5.25</v>
      </c>
      <c r="U13" s="3">
        <f t="shared" ref="U13:U14" si="32">R13+T13</f>
        <v>5.25</v>
      </c>
      <c r="V13" s="3">
        <f t="shared" ref="V13:V14" si="33">F13-U13</f>
        <v>414.75</v>
      </c>
      <c r="W13" s="3">
        <f t="shared" si="26"/>
        <v>42</v>
      </c>
      <c r="X13" s="3">
        <f t="shared" si="7"/>
        <v>47.25</v>
      </c>
      <c r="Y13" s="3">
        <f t="shared" si="8"/>
        <v>372.75</v>
      </c>
      <c r="Z13" s="3">
        <f t="shared" si="9"/>
        <v>42</v>
      </c>
      <c r="AA13" s="3">
        <f t="shared" si="10"/>
        <v>89.25</v>
      </c>
      <c r="AB13" s="3">
        <f t="shared" si="27"/>
        <v>330.75</v>
      </c>
      <c r="AC13" s="3">
        <f t="shared" si="11"/>
        <v>42</v>
      </c>
      <c r="AD13" s="3">
        <f t="shared" si="12"/>
        <v>131.25</v>
      </c>
      <c r="AE13" s="73">
        <f t="shared" si="25"/>
        <v>288.75</v>
      </c>
      <c r="AF13" s="3">
        <f t="shared" si="13"/>
        <v>42</v>
      </c>
      <c r="AG13" s="3">
        <f t="shared" si="14"/>
        <v>173.25</v>
      </c>
      <c r="AH13" s="73">
        <f t="shared" si="31"/>
        <v>246.75</v>
      </c>
      <c r="AI13" s="3">
        <f t="shared" si="15"/>
        <v>42</v>
      </c>
      <c r="AJ13" s="3">
        <f t="shared" si="16"/>
        <v>215.25</v>
      </c>
      <c r="AK13" s="73">
        <f t="shared" si="17"/>
        <v>204.75</v>
      </c>
      <c r="AL13" s="3">
        <f t="shared" si="18"/>
        <v>42</v>
      </c>
      <c r="AM13" s="3">
        <f t="shared" si="19"/>
        <v>257.25</v>
      </c>
      <c r="AN13" s="12">
        <f t="shared" si="20"/>
        <v>162.75</v>
      </c>
      <c r="AO13" s="3">
        <f t="shared" si="21"/>
        <v>42</v>
      </c>
      <c r="AP13" s="3">
        <f t="shared" si="22"/>
        <v>299.25</v>
      </c>
      <c r="AQ13" s="12">
        <f t="shared" si="23"/>
        <v>120.75</v>
      </c>
      <c r="AR13" s="148"/>
    </row>
    <row r="14" spans="1:44" s="49" customFormat="1" x14ac:dyDescent="0.25">
      <c r="A14" s="136">
        <v>20600002</v>
      </c>
      <c r="B14" s="45" t="s">
        <v>252</v>
      </c>
      <c r="C14" s="45"/>
      <c r="D14" s="45" t="s">
        <v>242</v>
      </c>
      <c r="E14" s="91">
        <v>43101</v>
      </c>
      <c r="F14" s="34">
        <v>23901.38</v>
      </c>
      <c r="G14" s="34">
        <v>0</v>
      </c>
      <c r="H14" s="90">
        <v>0.2</v>
      </c>
      <c r="I14" s="47"/>
      <c r="J14" s="45"/>
      <c r="K14" s="45" t="s">
        <v>34</v>
      </c>
      <c r="L14" s="45" t="s">
        <v>35</v>
      </c>
      <c r="M14" s="45">
        <v>73000000</v>
      </c>
      <c r="N14" s="34">
        <v>0</v>
      </c>
      <c r="O14" s="48">
        <v>0</v>
      </c>
      <c r="P14" s="48">
        <v>23901.38</v>
      </c>
      <c r="S14" s="34">
        <f t="shared" si="3"/>
        <v>23901.38</v>
      </c>
      <c r="T14" s="34">
        <f t="shared" ref="T14:T15" si="34">F14*H14</f>
        <v>4780.2760000000007</v>
      </c>
      <c r="U14" s="34">
        <f t="shared" si="32"/>
        <v>4780.2760000000007</v>
      </c>
      <c r="V14" s="34">
        <f t="shared" si="33"/>
        <v>19121.103999999999</v>
      </c>
      <c r="W14" s="34">
        <f t="shared" si="26"/>
        <v>4780.28</v>
      </c>
      <c r="X14" s="48">
        <f>U14+W14</f>
        <v>9560.5560000000005</v>
      </c>
      <c r="Y14" s="48">
        <f>F14-X14</f>
        <v>14340.824000000001</v>
      </c>
      <c r="Z14" s="34">
        <f t="shared" si="9"/>
        <v>4780.28</v>
      </c>
      <c r="AA14" s="48">
        <f t="shared" si="10"/>
        <v>14340.835999999999</v>
      </c>
      <c r="AB14" s="48">
        <f t="shared" si="27"/>
        <v>9560.5440000000017</v>
      </c>
      <c r="AC14" s="48">
        <f t="shared" si="11"/>
        <v>4780.28</v>
      </c>
      <c r="AD14" s="48">
        <f t="shared" si="12"/>
        <v>19121.115999999998</v>
      </c>
      <c r="AE14" s="48">
        <f>F14-AD14</f>
        <v>4780.2640000000029</v>
      </c>
      <c r="AF14" s="48">
        <f>ROUND(IF((F14*H14)&lt;AE14,(F14*H14),AE14),2)</f>
        <v>4780.26</v>
      </c>
      <c r="AG14" s="48">
        <f>AD14+AF14</f>
        <v>23901.375999999997</v>
      </c>
      <c r="AH14" s="48">
        <f>F14-AG14</f>
        <v>4.0000000044528861E-3</v>
      </c>
      <c r="AI14" s="48">
        <f>ROUND(IF((F14*H14)&lt;AH14,(F14*H14),AH14),2)</f>
        <v>0</v>
      </c>
      <c r="AJ14" s="48">
        <f>AG14+AI14</f>
        <v>23901.375999999997</v>
      </c>
      <c r="AK14" s="48">
        <f t="shared" si="17"/>
        <v>4.0000000044528861E-3</v>
      </c>
      <c r="AL14" s="33">
        <f t="shared" si="18"/>
        <v>0</v>
      </c>
      <c r="AM14" s="33">
        <f t="shared" si="19"/>
        <v>23901.375999999997</v>
      </c>
      <c r="AN14" s="42">
        <f t="shared" si="20"/>
        <v>4.0000000044528861E-3</v>
      </c>
      <c r="AO14" s="33">
        <f t="shared" si="21"/>
        <v>0</v>
      </c>
      <c r="AP14" s="33">
        <f t="shared" ref="AP14:AP15" si="35">AM14+AO14</f>
        <v>23901.375999999997</v>
      </c>
      <c r="AQ14" s="42">
        <f t="shared" si="23"/>
        <v>4.0000000044528861E-3</v>
      </c>
      <c r="AR14" s="147" t="s">
        <v>342</v>
      </c>
    </row>
    <row r="15" spans="1:44" s="49" customFormat="1" x14ac:dyDescent="0.25">
      <c r="A15" s="136">
        <v>20600002</v>
      </c>
      <c r="B15" s="45" t="s">
        <v>252</v>
      </c>
      <c r="C15" s="45"/>
      <c r="D15" s="45" t="s">
        <v>243</v>
      </c>
      <c r="E15" s="91">
        <v>43101</v>
      </c>
      <c r="F15" s="34">
        <v>54602.3</v>
      </c>
      <c r="G15" s="34"/>
      <c r="H15" s="46">
        <v>0.2</v>
      </c>
      <c r="I15" s="47"/>
      <c r="J15" s="45"/>
      <c r="K15" s="45" t="s">
        <v>34</v>
      </c>
      <c r="L15" s="45" t="s">
        <v>35</v>
      </c>
      <c r="M15" s="45"/>
      <c r="N15" s="34"/>
      <c r="O15" s="48"/>
      <c r="P15" s="48"/>
      <c r="S15" s="34">
        <f t="shared" si="3"/>
        <v>54602.3</v>
      </c>
      <c r="T15" s="34">
        <f t="shared" si="34"/>
        <v>10920.460000000001</v>
      </c>
      <c r="U15" s="34">
        <f t="shared" ref="U15" si="36">R15+T15</f>
        <v>10920.460000000001</v>
      </c>
      <c r="V15" s="34">
        <f t="shared" ref="V15" si="37">F15-U15</f>
        <v>43681.840000000004</v>
      </c>
      <c r="W15" s="34">
        <f t="shared" si="26"/>
        <v>10920.46</v>
      </c>
      <c r="X15" s="48">
        <f>U15+W15</f>
        <v>21840.92</v>
      </c>
      <c r="Y15" s="48">
        <f>F15-X15</f>
        <v>32761.380000000005</v>
      </c>
      <c r="Z15" s="34">
        <f t="shared" si="9"/>
        <v>10920.46</v>
      </c>
      <c r="AA15" s="48">
        <f t="shared" si="10"/>
        <v>32761.379999999997</v>
      </c>
      <c r="AB15" s="48">
        <f t="shared" si="27"/>
        <v>21840.920000000006</v>
      </c>
      <c r="AC15" s="48">
        <f t="shared" si="11"/>
        <v>10920.46</v>
      </c>
      <c r="AD15" s="48">
        <f t="shared" si="12"/>
        <v>43681.84</v>
      </c>
      <c r="AE15" s="48">
        <f>F15-AD15</f>
        <v>10920.460000000006</v>
      </c>
      <c r="AF15" s="48">
        <f>ROUND(IF((F15*H15)&lt;AE15,(F15*H15),AE15),2)</f>
        <v>10920.46</v>
      </c>
      <c r="AG15" s="48">
        <f>AD15+AF15</f>
        <v>54602.299999999996</v>
      </c>
      <c r="AH15" s="48">
        <f>F15-AG15</f>
        <v>0</v>
      </c>
      <c r="AI15" s="48">
        <f t="shared" si="15"/>
        <v>0</v>
      </c>
      <c r="AJ15" s="48">
        <f>AG15+AI15</f>
        <v>54602.299999999996</v>
      </c>
      <c r="AK15" s="48">
        <f t="shared" si="17"/>
        <v>0</v>
      </c>
      <c r="AL15" s="33">
        <f t="shared" si="18"/>
        <v>0</v>
      </c>
      <c r="AM15" s="33">
        <f t="shared" si="19"/>
        <v>54602.299999999996</v>
      </c>
      <c r="AN15" s="42">
        <f t="shared" si="20"/>
        <v>0</v>
      </c>
      <c r="AO15" s="33">
        <f t="shared" si="21"/>
        <v>0</v>
      </c>
      <c r="AP15" s="33">
        <f t="shared" si="35"/>
        <v>54602.299999999996</v>
      </c>
      <c r="AQ15" s="42">
        <f t="shared" si="23"/>
        <v>0</v>
      </c>
      <c r="AR15" s="147" t="s">
        <v>342</v>
      </c>
    </row>
    <row r="16" spans="1:44" x14ac:dyDescent="0.25">
      <c r="A16" s="1"/>
      <c r="B16" s="1"/>
      <c r="C16" s="1"/>
      <c r="D16" s="1"/>
      <c r="E16" s="4"/>
      <c r="F16" s="5"/>
      <c r="G16" s="5"/>
      <c r="H16" s="9"/>
      <c r="I16" s="2"/>
      <c r="J16" s="1"/>
      <c r="K16" s="1"/>
      <c r="L16" s="1"/>
      <c r="M16" s="1"/>
      <c r="N16" s="5"/>
      <c r="O16" s="3"/>
    </row>
    <row r="17" spans="1:43" x14ac:dyDescent="0.25">
      <c r="A17" s="1"/>
      <c r="B17" s="1"/>
      <c r="C17" s="1"/>
      <c r="D17" s="1"/>
      <c r="E17" s="4"/>
      <c r="F17" s="5"/>
      <c r="G17" s="5"/>
      <c r="H17" s="9"/>
      <c r="I17" s="2"/>
      <c r="J17" s="1"/>
      <c r="K17" s="1"/>
      <c r="L17" s="1"/>
      <c r="M17" s="1"/>
      <c r="N17" s="5"/>
      <c r="O17" s="3"/>
    </row>
    <row r="18" spans="1:43" s="26" customFormat="1" x14ac:dyDescent="0.25">
      <c r="A18" s="25" t="s">
        <v>109</v>
      </c>
      <c r="B18" s="25"/>
      <c r="C18" s="25"/>
      <c r="E18" s="27"/>
      <c r="F18" s="94">
        <f>SUM(F4:F17)</f>
        <v>147114.26</v>
      </c>
      <c r="G18" s="29">
        <f>SUM(G4:G16)</f>
        <v>14623.86</v>
      </c>
      <c r="N18" s="28">
        <f>SUM(N4:N17)</f>
        <v>13181.574000000001</v>
      </c>
      <c r="O18" s="28">
        <f>SUM(O4:O17)</f>
        <v>40962.008000000002</v>
      </c>
      <c r="P18" s="28">
        <f>SUM(P4:P17)</f>
        <v>50409.952000000005</v>
      </c>
      <c r="Q18" s="57">
        <f>SUM(Q4:Q17)</f>
        <v>13216.867150684931</v>
      </c>
      <c r="R18" s="57">
        <f t="shared" ref="R18:AE18" si="38">SUM(R4:R17)</f>
        <v>54178.875150684937</v>
      </c>
      <c r="S18" s="57">
        <f t="shared" si="38"/>
        <v>92515.384849315073</v>
      </c>
      <c r="T18" s="57">
        <f>SUM(T4:T17)</f>
        <v>28684.420000000006</v>
      </c>
      <c r="U18" s="57">
        <f t="shared" si="38"/>
        <v>82863.295150684935</v>
      </c>
      <c r="V18" s="57">
        <f t="shared" si="38"/>
        <v>64250.964849315074</v>
      </c>
      <c r="W18" s="57">
        <f t="shared" si="38"/>
        <v>15924.149999999998</v>
      </c>
      <c r="X18" s="57">
        <f t="shared" si="38"/>
        <v>98787.445150684929</v>
      </c>
      <c r="Y18" s="57">
        <f t="shared" si="38"/>
        <v>48326.814849315073</v>
      </c>
      <c r="Z18" s="57">
        <f t="shared" si="38"/>
        <v>15924.149999999998</v>
      </c>
      <c r="AA18" s="57">
        <f t="shared" si="38"/>
        <v>114711.59515068494</v>
      </c>
      <c r="AB18" s="57">
        <f t="shared" si="38"/>
        <v>32402.664849315075</v>
      </c>
      <c r="AC18" s="57">
        <f t="shared" si="38"/>
        <v>15901.48</v>
      </c>
      <c r="AD18" s="57">
        <f t="shared" si="38"/>
        <v>130613.07515068492</v>
      </c>
      <c r="AE18" s="57">
        <f t="shared" si="38"/>
        <v>16501.184849315076</v>
      </c>
      <c r="AF18" s="57">
        <f t="shared" ref="AF18:AK18" si="39">SUM(AF4:AF17)</f>
        <v>15844.72</v>
      </c>
      <c r="AG18" s="57">
        <f t="shared" si="39"/>
        <v>146457.79515068492</v>
      </c>
      <c r="AH18" s="57">
        <f t="shared" si="39"/>
        <v>656.46484931507302</v>
      </c>
      <c r="AI18" s="57">
        <f t="shared" si="39"/>
        <v>144</v>
      </c>
      <c r="AJ18" s="57">
        <f t="shared" si="39"/>
        <v>146601.79515068492</v>
      </c>
      <c r="AK18" s="57">
        <f t="shared" si="39"/>
        <v>512.46484931507302</v>
      </c>
      <c r="AL18" s="57">
        <f t="shared" ref="AL18:AN18" si="40">SUM(AL4:AL17)</f>
        <v>144</v>
      </c>
      <c r="AM18" s="57">
        <f t="shared" si="40"/>
        <v>146745.79515068492</v>
      </c>
      <c r="AN18" s="57">
        <f t="shared" si="40"/>
        <v>368.46484931507297</v>
      </c>
      <c r="AO18" s="57">
        <f t="shared" ref="AO18:AQ18" si="41">SUM(AO4:AO17)</f>
        <v>139</v>
      </c>
      <c r="AP18" s="57">
        <f t="shared" si="41"/>
        <v>146884.79515068492</v>
      </c>
      <c r="AQ18" s="57">
        <f t="shared" si="41"/>
        <v>229.46484931507297</v>
      </c>
    </row>
    <row r="19" spans="1:43" x14ac:dyDescent="0.25">
      <c r="A19" s="1"/>
      <c r="B19" s="1"/>
      <c r="C19" s="1"/>
      <c r="E19" s="6"/>
      <c r="F19" s="89"/>
      <c r="N19" s="89" t="str">
        <f>"(68000000)"</f>
        <v>(68000000)</v>
      </c>
      <c r="O19" s="89" t="str">
        <f>"(28050000)"</f>
        <v>(28050000)</v>
      </c>
      <c r="P19" s="3"/>
      <c r="Q19" s="89" t="str">
        <f>"(68000000)"</f>
        <v>(68000000)</v>
      </c>
      <c r="R19" s="89" t="str">
        <f>"(28050000)"</f>
        <v>(28050000)</v>
      </c>
      <c r="T19" s="89" t="str">
        <f>"(68000000)"</f>
        <v>(68000000)</v>
      </c>
      <c r="U19" s="89" t="str">
        <f>"(28050000)"</f>
        <v>(28050000)</v>
      </c>
      <c r="W19" s="89" t="str">
        <f>"(68000000)"</f>
        <v>(68000000)</v>
      </c>
      <c r="X19" s="89" t="str">
        <f>"(28050000)"</f>
        <v>(28050000)</v>
      </c>
      <c r="Z19" s="89" t="str">
        <f>"(68000000)"</f>
        <v>(68000000)</v>
      </c>
      <c r="AA19" s="89" t="str">
        <f>"(28050000)"</f>
        <v>(28050000)</v>
      </c>
      <c r="AC19" s="89" t="str">
        <f>"(68000000)"</f>
        <v>(68000000)</v>
      </c>
      <c r="AD19" s="89" t="str">
        <f>"(28050000)"</f>
        <v>(28050000)</v>
      </c>
      <c r="AF19" s="89" t="str">
        <f>"(68000000)"</f>
        <v>(68000000)</v>
      </c>
      <c r="AG19" s="89" t="str">
        <f>"(28050000)"</f>
        <v>(28050000)</v>
      </c>
    </row>
    <row r="20" spans="1:43" ht="15.75" thickBot="1" x14ac:dyDescent="0.3">
      <c r="C20" s="74"/>
      <c r="E20" s="1"/>
      <c r="F20" s="5"/>
      <c r="H20" s="3"/>
      <c r="I20" s="3"/>
      <c r="O20" s="3"/>
      <c r="R20" s="3"/>
    </row>
    <row r="21" spans="1:43" x14ac:dyDescent="0.25">
      <c r="E21" s="1"/>
      <c r="F21" s="5"/>
      <c r="H21" s="3"/>
      <c r="I21" s="3"/>
      <c r="O21" s="3"/>
      <c r="AL21" s="95" t="s">
        <v>352</v>
      </c>
      <c r="AM21" s="96"/>
      <c r="AN21" s="97"/>
    </row>
    <row r="22" spans="1:43" x14ac:dyDescent="0.25">
      <c r="E22" s="1"/>
      <c r="F22" s="5"/>
      <c r="AL22" s="101">
        <v>68000000</v>
      </c>
      <c r="AM22" t="s">
        <v>245</v>
      </c>
      <c r="AN22" s="98">
        <v>139</v>
      </c>
    </row>
    <row r="23" spans="1:43" ht="15.75" thickBot="1" x14ac:dyDescent="0.3">
      <c r="F23" s="78"/>
      <c r="AL23" s="99" t="s">
        <v>255</v>
      </c>
      <c r="AM23" s="17" t="s">
        <v>247</v>
      </c>
      <c r="AN23" s="100">
        <v>139</v>
      </c>
    </row>
    <row r="24" spans="1:43" x14ac:dyDescent="0.25">
      <c r="AL24" s="166" t="s">
        <v>353</v>
      </c>
      <c r="AM24" s="166"/>
      <c r="AN24" s="166"/>
      <c r="AO24" s="166"/>
      <c r="AP24" s="166"/>
    </row>
    <row r="25" spans="1:43" s="35" customFormat="1" x14ac:dyDescent="0.25">
      <c r="E25" s="33" t="s">
        <v>137</v>
      </c>
      <c r="F25" s="33"/>
      <c r="G25" s="33"/>
    </row>
    <row r="26" spans="1:43" ht="15.75" thickBot="1" x14ac:dyDescent="0.3"/>
    <row r="27" spans="1:43" x14ac:dyDescent="0.25">
      <c r="T27" s="95" t="s">
        <v>254</v>
      </c>
      <c r="U27" s="96"/>
      <c r="V27" s="97"/>
    </row>
    <row r="28" spans="1:43" x14ac:dyDescent="0.25">
      <c r="E28"/>
      <c r="F28"/>
      <c r="G28"/>
      <c r="T28" s="101">
        <v>68000000</v>
      </c>
      <c r="U28" t="s">
        <v>245</v>
      </c>
      <c r="V28" s="98">
        <f>W18</f>
        <v>15924.149999999998</v>
      </c>
    </row>
    <row r="29" spans="1:43" ht="15.75" thickBot="1" x14ac:dyDescent="0.3">
      <c r="T29" s="99" t="s">
        <v>255</v>
      </c>
      <c r="U29" s="17" t="s">
        <v>247</v>
      </c>
      <c r="V29" s="100">
        <f>V28</f>
        <v>15924.149999999998</v>
      </c>
    </row>
  </sheetData>
  <autoFilter ref="A3:P3" xr:uid="{00000000-0009-0000-0000-000003000000}"/>
  <mergeCells count="1">
    <mergeCell ref="AL24:AP24"/>
  </mergeCells>
  <pageMargins left="0.19685039370078741" right="0.19685039370078741" top="0.78740157480314965" bottom="0.78740157480314965" header="0.39370078740157483" footer="0.39370078740157483"/>
  <pageSetup paperSize="9" scale="74" orientation="portrait" r:id="rId1"/>
  <headerFoot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216 mobiliario 2025</vt:lpstr>
      <vt:lpstr>217 equipos 2025</vt:lpstr>
      <vt:lpstr>219 otro inmov 2025</vt:lpstr>
      <vt:lpstr>206 aplicaciones2025</vt:lpstr>
      <vt:lpstr>'216 mobiliario 2025'!_FilterDatabase</vt:lpstr>
      <vt:lpstr>'219 otro inmov 2025'!_FilterDatabase</vt:lpstr>
      <vt:lpstr>'216 mobiliario 2025'!Área_de_impresión</vt:lpstr>
      <vt:lpstr>'217 equipos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chorno</dc:creator>
  <cp:lastModifiedBy>Jose Manuel de Miguel Moreno</cp:lastModifiedBy>
  <cp:lastPrinted>2025-11-13T09:40:03Z</cp:lastPrinted>
  <dcterms:created xsi:type="dcterms:W3CDTF">2015-06-10T12:22:15Z</dcterms:created>
  <dcterms:modified xsi:type="dcterms:W3CDTF">2026-01-22T20:11:03Z</dcterms:modified>
</cp:coreProperties>
</file>